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 Drive\Upload\"/>
    </mc:Choice>
  </mc:AlternateContent>
  <bookViews>
    <workbookView xWindow="0" yWindow="0" windowWidth="15360" windowHeight="8340" tabRatio="914" firstSheet="50"/>
  </bookViews>
  <sheets>
    <sheet name="Data Summary"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99" r:id="rId13"/>
    <sheet name="13" sheetId="13" r:id="rId14"/>
    <sheet name="14" sheetId="14" r:id="rId15"/>
    <sheet name="15" sheetId="15" r:id="rId16"/>
    <sheet name="16" sheetId="16" r:id="rId17"/>
    <sheet name="17" sheetId="17" r:id="rId18"/>
    <sheet name="18" sheetId="18" r:id="rId19"/>
    <sheet name="19" sheetId="19" r:id="rId20"/>
    <sheet name="20" sheetId="20" r:id="rId21"/>
    <sheet name="21" sheetId="21"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44" sheetId="45" r:id="rId45"/>
    <sheet name="45" sheetId="46" r:id="rId46"/>
    <sheet name="46" sheetId="47" r:id="rId47"/>
    <sheet name="47" sheetId="48" r:id="rId48"/>
    <sheet name="48" sheetId="49" r:id="rId49"/>
    <sheet name="49" sheetId="50" r:id="rId50"/>
    <sheet name="50" sheetId="51" r:id="rId51"/>
    <sheet name="51" sheetId="52" r:id="rId52"/>
    <sheet name="52" sheetId="53" r:id="rId53"/>
    <sheet name="53" sheetId="54" r:id="rId54"/>
    <sheet name="54" sheetId="55" r:id="rId55"/>
    <sheet name="55" sheetId="56" r:id="rId56"/>
    <sheet name="56" sheetId="57" r:id="rId57"/>
    <sheet name="57" sheetId="58" r:id="rId58"/>
    <sheet name="58" sheetId="107" r:id="rId59"/>
    <sheet name="59" sheetId="62" r:id="rId60"/>
    <sheet name="60" sheetId="63" r:id="rId61"/>
    <sheet name="61" sheetId="64" r:id="rId62"/>
    <sheet name="62" sheetId="65" r:id="rId63"/>
    <sheet name="63" sheetId="66" r:id="rId64"/>
    <sheet name="65" sheetId="87" r:id="rId65"/>
    <sheet name="66" sheetId="88" r:id="rId66"/>
    <sheet name="67" sheetId="89" r:id="rId67"/>
    <sheet name="68" sheetId="90" r:id="rId68"/>
    <sheet name="69" sheetId="91" r:id="rId69"/>
    <sheet name="70" sheetId="92" r:id="rId70"/>
    <sheet name="71" sheetId="93" r:id="rId71"/>
    <sheet name="72" sheetId="94" r:id="rId72"/>
    <sheet name="73" sheetId="95" r:id="rId73"/>
    <sheet name="74" sheetId="96" r:id="rId74"/>
    <sheet name="75" sheetId="97" r:id="rId75"/>
    <sheet name="76" sheetId="83" r:id="rId76"/>
  </sheets>
  <externalReferences>
    <externalReference r:id="rId77"/>
  </externalReferences>
  <definedNames>
    <definedName name="_xlnm.Print_Area" localSheetId="15">'15'!$A$1:$M$10</definedName>
    <definedName name="_xlnm.Print_Area" localSheetId="16">'16'!$A$1:$M$9</definedName>
    <definedName name="_xlnm.Print_Area" localSheetId="55">'55'!$A$1:$F$10</definedName>
    <definedName name="_xlnm.Print_Area" localSheetId="61">'61'!$A$1:$L$20</definedName>
    <definedName name="_xlnm.Print_Area" localSheetId="64">'65'!$A$1:$K$19</definedName>
    <definedName name="_xlnm.Print_Area" localSheetId="65">'66'!$A$1:$I$9</definedName>
    <definedName name="_xlnm.Print_Area" localSheetId="66">'67'!$A$1:$R$19</definedName>
    <definedName name="_xlnm.Print_Area" localSheetId="67">'68'!$A$1:$M$10</definedName>
    <definedName name="_xlnm.Print_Area" localSheetId="68">'69'!$A$1:$O$12</definedName>
    <definedName name="_xlnm.Print_Area" localSheetId="69">'70'!$A$1:$X$9</definedName>
    <definedName name="_xlnm.Print_Area" localSheetId="70">'71'!$A$1:$L$10</definedName>
    <definedName name="_xlnm.Print_Area" localSheetId="71">'72'!$A$1:$R$11</definedName>
    <definedName name="_xlnm.Print_Area" localSheetId="72">'73'!$A$1:$J$44</definedName>
    <definedName name="_xlnm.Print_Area" localSheetId="73">'74'!$A$1:$J$31</definedName>
    <definedName name="_xlnm.Print_Area" localSheetId="74">'75'!$A$1:$J$43</definedName>
  </definedNames>
  <calcPr calcId="152511"/>
</workbook>
</file>

<file path=xl/calcChain.xml><?xml version="1.0" encoding="utf-8"?>
<calcChain xmlns="http://schemas.openxmlformats.org/spreadsheetml/2006/main">
  <c r="J7" i="62" l="1"/>
  <c r="J6" i="62"/>
  <c r="H15" i="63"/>
  <c r="G15" i="63"/>
  <c r="F15" i="63"/>
  <c r="J13" i="63"/>
  <c r="I13" i="63"/>
  <c r="V69" i="107" l="1"/>
  <c r="V70" i="107"/>
  <c r="V71" i="107"/>
  <c r="V72" i="107"/>
  <c r="L7" i="58"/>
  <c r="F38" i="83" l="1"/>
  <c r="E38" i="83"/>
  <c r="C6" i="15" l="1"/>
  <c r="D6" i="15"/>
  <c r="E6" i="15"/>
  <c r="F6" i="15"/>
  <c r="G6" i="15"/>
  <c r="H6" i="15"/>
  <c r="I6" i="15"/>
  <c r="J6" i="15"/>
  <c r="K6" i="15"/>
  <c r="L6" i="15"/>
  <c r="M6" i="15"/>
  <c r="B6" i="15"/>
  <c r="C19" i="15"/>
  <c r="D19" i="15"/>
  <c r="E19" i="15"/>
  <c r="F19" i="15"/>
  <c r="G19" i="15"/>
  <c r="H19" i="15"/>
  <c r="I19" i="15"/>
  <c r="J19" i="15"/>
  <c r="K19" i="15"/>
  <c r="L19" i="15"/>
  <c r="M19" i="15"/>
  <c r="B19" i="15"/>
  <c r="C5" i="16"/>
  <c r="D5" i="16"/>
  <c r="E5" i="16"/>
  <c r="F5" i="16"/>
  <c r="G5" i="16"/>
  <c r="H5" i="16"/>
  <c r="I5" i="16"/>
  <c r="J5" i="16"/>
  <c r="K5" i="16"/>
  <c r="L5" i="16"/>
  <c r="M5" i="16"/>
  <c r="B5" i="16"/>
  <c r="C18" i="16"/>
  <c r="D18" i="16"/>
  <c r="E18" i="16"/>
  <c r="F18" i="16"/>
  <c r="G18" i="16"/>
  <c r="H18" i="16"/>
  <c r="I18" i="16"/>
  <c r="J18" i="16"/>
  <c r="K18" i="16"/>
  <c r="L18" i="16"/>
  <c r="M18" i="16"/>
  <c r="B18" i="16"/>
  <c r="M16" i="15"/>
  <c r="L16" i="15"/>
  <c r="C5" i="62" l="1"/>
  <c r="D5" i="62"/>
  <c r="E5" i="62"/>
  <c r="F5" i="62"/>
  <c r="G5" i="62"/>
  <c r="H5" i="62"/>
  <c r="I5" i="62"/>
  <c r="J5" i="62"/>
  <c r="B5" i="62"/>
  <c r="AC5" i="57"/>
  <c r="AB5" i="57"/>
  <c r="AC7" i="57"/>
  <c r="AB7" i="57"/>
  <c r="A8" i="20"/>
  <c r="A7" i="35" l="1"/>
  <c r="A9" i="29"/>
  <c r="A9" i="25"/>
  <c r="A7" i="17"/>
  <c r="A8" i="14"/>
  <c r="A8" i="13"/>
  <c r="A10" i="5" l="1"/>
  <c r="F6" i="55"/>
  <c r="F5" i="55"/>
  <c r="F4" i="55" l="1"/>
  <c r="C4" i="55"/>
  <c r="D4" i="55"/>
  <c r="E4" i="55"/>
  <c r="B4" i="55"/>
  <c r="L17" i="64"/>
  <c r="K17" i="64"/>
  <c r="L16" i="64"/>
  <c r="K16" i="64"/>
  <c r="H15" i="64"/>
  <c r="L15" i="64" s="1"/>
  <c r="L14" i="64"/>
  <c r="K14" i="64"/>
  <c r="H13" i="64"/>
  <c r="L13" i="64" s="1"/>
  <c r="L12" i="64"/>
  <c r="K12" i="64"/>
  <c r="L11" i="64"/>
  <c r="K11" i="64"/>
  <c r="L10" i="64"/>
  <c r="K10" i="64"/>
  <c r="L9" i="64"/>
  <c r="K9" i="64"/>
  <c r="L8" i="64"/>
  <c r="K8" i="64"/>
  <c r="L7" i="64"/>
  <c r="K7" i="64"/>
  <c r="L6" i="64"/>
  <c r="K6" i="64"/>
  <c r="L5" i="64"/>
  <c r="K5" i="64"/>
  <c r="L4" i="64"/>
  <c r="K4" i="64"/>
  <c r="A38" i="97"/>
  <c r="J37" i="97"/>
  <c r="I37" i="97"/>
  <c r="H37" i="97"/>
  <c r="G37" i="97"/>
  <c r="D37" i="97"/>
  <c r="C37" i="97"/>
  <c r="J26" i="97"/>
  <c r="H26" i="97"/>
  <c r="D26" i="97"/>
  <c r="I25" i="97"/>
  <c r="G25" i="97"/>
  <c r="C25" i="97"/>
  <c r="I24" i="97"/>
  <c r="G24" i="97"/>
  <c r="C24" i="97"/>
  <c r="I23" i="97"/>
  <c r="C23" i="97"/>
  <c r="I22" i="97"/>
  <c r="G22" i="97"/>
  <c r="C22" i="97"/>
  <c r="I21" i="97"/>
  <c r="G21" i="97"/>
  <c r="C21" i="97"/>
  <c r="I19" i="97"/>
  <c r="G19" i="97"/>
  <c r="C19" i="97"/>
  <c r="I18" i="97"/>
  <c r="I26" i="97" s="1"/>
  <c r="G18" i="97"/>
  <c r="G26" i="97" s="1"/>
  <c r="C18" i="97"/>
  <c r="C26" i="97" s="1"/>
  <c r="J16" i="97"/>
  <c r="I16" i="97"/>
  <c r="H16" i="97"/>
  <c r="G16" i="97"/>
  <c r="F16" i="97"/>
  <c r="E16" i="97"/>
  <c r="D16" i="97"/>
  <c r="C16" i="97"/>
  <c r="A29" i="96"/>
  <c r="J28" i="96"/>
  <c r="I28" i="96"/>
  <c r="H28" i="96"/>
  <c r="G28" i="96"/>
  <c r="F28" i="96"/>
  <c r="E28" i="96"/>
  <c r="D28" i="96"/>
  <c r="C28" i="96"/>
  <c r="J21" i="96"/>
  <c r="I21" i="96"/>
  <c r="H21" i="96"/>
  <c r="G21" i="96"/>
  <c r="F21" i="96"/>
  <c r="E21" i="96"/>
  <c r="D21" i="96"/>
  <c r="C21" i="96"/>
  <c r="A8" i="96"/>
  <c r="A9" i="96" s="1"/>
  <c r="A10" i="96" s="1"/>
  <c r="A11" i="96" s="1"/>
  <c r="A12" i="96" s="1"/>
  <c r="A13" i="96" s="1"/>
  <c r="A14" i="96" s="1"/>
  <c r="A15" i="96" s="1"/>
  <c r="A16" i="96" s="1"/>
  <c r="A17" i="96" s="1"/>
  <c r="A18" i="96" s="1"/>
  <c r="A19" i="96" s="1"/>
  <c r="A20" i="96" s="1"/>
  <c r="A40" i="95"/>
  <c r="J36" i="95"/>
  <c r="I36" i="95"/>
  <c r="H36" i="95"/>
  <c r="G36" i="95"/>
  <c r="F36" i="95"/>
  <c r="E36" i="95"/>
  <c r="D36" i="95"/>
  <c r="C36" i="95"/>
  <c r="J32" i="95"/>
  <c r="J39" i="95" s="1"/>
  <c r="I32" i="95"/>
  <c r="I39" i="95" s="1"/>
  <c r="H32" i="95"/>
  <c r="H39" i="95" s="1"/>
  <c r="G32" i="95"/>
  <c r="G39" i="95" s="1"/>
  <c r="F32" i="95"/>
  <c r="F39" i="95" s="1"/>
  <c r="E32" i="95"/>
  <c r="E39" i="95" s="1"/>
  <c r="D32" i="95"/>
  <c r="D39" i="95" s="1"/>
  <c r="C32" i="95"/>
  <c r="C39" i="95" s="1"/>
  <c r="J26" i="95"/>
  <c r="J27" i="95" s="1"/>
  <c r="I26" i="95"/>
  <c r="I27" i="95" s="1"/>
  <c r="H26" i="95"/>
  <c r="H27" i="95" s="1"/>
  <c r="G26" i="95"/>
  <c r="F26" i="95"/>
  <c r="F27" i="95" s="1"/>
  <c r="E26" i="95"/>
  <c r="E27" i="95" s="1"/>
  <c r="D26" i="95"/>
  <c r="D27" i="95" s="1"/>
  <c r="C26" i="95"/>
  <c r="C27" i="95" s="1"/>
  <c r="J22" i="95"/>
  <c r="I22" i="95"/>
  <c r="H22" i="95"/>
  <c r="G22" i="95"/>
  <c r="F22" i="95"/>
  <c r="E22" i="95"/>
  <c r="D22" i="95"/>
  <c r="C22" i="95"/>
  <c r="J16" i="95"/>
  <c r="I16" i="95"/>
  <c r="H16" i="95"/>
  <c r="G16" i="95"/>
  <c r="F16" i="95"/>
  <c r="E16" i="95"/>
  <c r="D16" i="95"/>
  <c r="C16" i="95"/>
  <c r="J8" i="95"/>
  <c r="I8" i="95"/>
  <c r="H8" i="95"/>
  <c r="G8" i="95"/>
  <c r="G27" i="95" s="1"/>
  <c r="F8" i="95"/>
  <c r="E8" i="95"/>
  <c r="D8" i="95"/>
  <c r="C8" i="95"/>
  <c r="A9" i="94"/>
  <c r="H6" i="94"/>
  <c r="G6" i="94"/>
  <c r="F6" i="94"/>
  <c r="A8" i="93"/>
  <c r="L5" i="93"/>
  <c r="K5" i="93"/>
  <c r="J5" i="93"/>
  <c r="I5" i="93"/>
  <c r="H5" i="93"/>
  <c r="G5" i="93"/>
  <c r="F5" i="93"/>
  <c r="E5" i="93"/>
  <c r="D5" i="93"/>
  <c r="C5" i="93"/>
  <c r="B5" i="93"/>
  <c r="A8" i="92"/>
  <c r="R5" i="92"/>
  <c r="Q5" i="92"/>
  <c r="P5" i="92"/>
  <c r="O5" i="92"/>
  <c r="N5" i="92"/>
  <c r="M5" i="92"/>
  <c r="L5" i="92"/>
  <c r="K5" i="92"/>
  <c r="J5" i="92"/>
  <c r="I5" i="92"/>
  <c r="H5" i="92"/>
  <c r="G5" i="92"/>
  <c r="F5" i="92"/>
  <c r="E5" i="92"/>
  <c r="D5" i="92"/>
  <c r="C5" i="92"/>
  <c r="B5" i="92"/>
  <c r="O4" i="92"/>
  <c r="I4" i="92"/>
  <c r="A8" i="91"/>
  <c r="O5" i="91"/>
  <c r="N5" i="91"/>
  <c r="M5" i="91"/>
  <c r="L5" i="91"/>
  <c r="K5" i="91"/>
  <c r="J5" i="91"/>
  <c r="I5" i="91"/>
  <c r="H5" i="91"/>
  <c r="G5" i="91"/>
  <c r="F5" i="91"/>
  <c r="E5" i="91"/>
  <c r="D5" i="91"/>
  <c r="C5" i="91"/>
  <c r="B5" i="91"/>
  <c r="A9" i="90"/>
  <c r="M6" i="90"/>
  <c r="L6" i="90"/>
  <c r="K6" i="90"/>
  <c r="J6" i="90"/>
  <c r="I6" i="90"/>
  <c r="H6" i="90"/>
  <c r="G6" i="90"/>
  <c r="F6" i="90"/>
  <c r="E6" i="90"/>
  <c r="D6" i="90"/>
  <c r="C6" i="90"/>
  <c r="B6" i="90"/>
  <c r="A17" i="89"/>
  <c r="R14" i="89"/>
  <c r="Q14" i="89"/>
  <c r="P14" i="89"/>
  <c r="O14" i="89"/>
  <c r="N14" i="89"/>
  <c r="M14" i="89"/>
  <c r="L14" i="89"/>
  <c r="K14" i="89"/>
  <c r="J14" i="89"/>
  <c r="I14" i="89"/>
  <c r="H14" i="89"/>
  <c r="G14" i="89"/>
  <c r="F14" i="89"/>
  <c r="E14" i="89"/>
  <c r="D14" i="89"/>
  <c r="C14" i="89"/>
  <c r="B14" i="89"/>
  <c r="R6" i="89"/>
  <c r="Q6" i="89"/>
  <c r="P6" i="89"/>
  <c r="O6" i="89"/>
  <c r="N6" i="89"/>
  <c r="M6" i="89"/>
  <c r="L6" i="89"/>
  <c r="K6" i="89"/>
  <c r="J6" i="89"/>
  <c r="I6" i="89"/>
  <c r="H6" i="89"/>
  <c r="G6" i="89"/>
  <c r="F6" i="89"/>
  <c r="E6" i="89"/>
  <c r="D6" i="89"/>
  <c r="C6" i="89"/>
  <c r="B6" i="89"/>
  <c r="A8" i="88"/>
  <c r="I5" i="88"/>
  <c r="E5" i="88"/>
  <c r="K15" i="64" l="1"/>
  <c r="K13" i="64"/>
  <c r="G17" i="64" l="1"/>
  <c r="F17" i="64"/>
  <c r="G16" i="64"/>
  <c r="F16" i="64"/>
  <c r="G15" i="64"/>
  <c r="F15" i="64"/>
  <c r="G14" i="64"/>
  <c r="F14" i="64"/>
  <c r="G13" i="64"/>
  <c r="F13" i="64"/>
  <c r="G12" i="64"/>
  <c r="F12" i="64"/>
  <c r="G11" i="64"/>
  <c r="F11" i="64"/>
  <c r="G10" i="64"/>
  <c r="F10" i="64"/>
  <c r="G9" i="64"/>
  <c r="F9" i="64"/>
  <c r="G8" i="64"/>
  <c r="F8" i="64"/>
  <c r="G7" i="64"/>
  <c r="F7" i="64"/>
  <c r="G6" i="64"/>
  <c r="F6" i="64"/>
  <c r="G5" i="64"/>
  <c r="F5" i="64"/>
  <c r="G4" i="64"/>
  <c r="F4" i="64"/>
  <c r="I7" i="62" l="1"/>
  <c r="H7" i="62"/>
  <c r="A1" i="107"/>
  <c r="N88" i="107" l="1"/>
  <c r="M88" i="107"/>
  <c r="L88" i="107"/>
  <c r="K88" i="107"/>
  <c r="J88" i="107"/>
  <c r="I88" i="107"/>
  <c r="N86" i="107"/>
  <c r="M86" i="107"/>
  <c r="L86" i="107"/>
  <c r="K86" i="107"/>
  <c r="J86" i="107"/>
  <c r="I86" i="107"/>
  <c r="N84" i="107"/>
  <c r="M84" i="107"/>
  <c r="L84" i="107"/>
  <c r="K84" i="107"/>
  <c r="J84" i="107"/>
  <c r="I84" i="107"/>
  <c r="N82" i="107"/>
  <c r="M82" i="107"/>
  <c r="L82" i="107"/>
  <c r="K82" i="107"/>
  <c r="J82" i="107"/>
  <c r="I82" i="107"/>
  <c r="N80" i="107"/>
  <c r="M80" i="107"/>
  <c r="L80" i="107"/>
  <c r="K80" i="107"/>
  <c r="J80" i="107"/>
  <c r="I80" i="107"/>
  <c r="N78" i="107"/>
  <c r="M78" i="107"/>
  <c r="L78" i="107"/>
  <c r="K78" i="107"/>
  <c r="J78" i="107"/>
  <c r="I78" i="107"/>
  <c r="N75" i="107"/>
  <c r="M75" i="107"/>
  <c r="L75" i="107"/>
  <c r="K75" i="107"/>
  <c r="J75" i="107"/>
  <c r="I75" i="107"/>
  <c r="N73" i="107"/>
  <c r="M73" i="107"/>
  <c r="L73" i="107"/>
  <c r="K73" i="107"/>
  <c r="J73" i="107"/>
  <c r="I73" i="107"/>
  <c r="N71" i="107"/>
  <c r="M71" i="107"/>
  <c r="L71" i="107"/>
  <c r="K71" i="107"/>
  <c r="J71" i="107"/>
  <c r="I71" i="107"/>
  <c r="N70" i="107"/>
  <c r="M70" i="107"/>
  <c r="L70" i="107"/>
  <c r="K70" i="107"/>
  <c r="J70" i="107"/>
  <c r="I70" i="107"/>
  <c r="N69" i="107"/>
  <c r="M69" i="107"/>
  <c r="L69" i="107"/>
  <c r="L68" i="107" s="1"/>
  <c r="K69" i="107"/>
  <c r="J69" i="107"/>
  <c r="I69" i="107"/>
  <c r="H68" i="107"/>
  <c r="G68" i="107"/>
  <c r="F68" i="107"/>
  <c r="E68" i="107"/>
  <c r="D68" i="107"/>
  <c r="C68" i="107"/>
  <c r="N66" i="107"/>
  <c r="M66" i="107"/>
  <c r="L66" i="107"/>
  <c r="K66" i="107"/>
  <c r="J66" i="107"/>
  <c r="I66" i="107"/>
  <c r="N65" i="107"/>
  <c r="M65" i="107"/>
  <c r="L65" i="107"/>
  <c r="K65" i="107"/>
  <c r="J65" i="107"/>
  <c r="I65" i="107"/>
  <c r="N64" i="107"/>
  <c r="M64" i="107"/>
  <c r="L64" i="107"/>
  <c r="K64" i="107"/>
  <c r="J64" i="107"/>
  <c r="I64" i="107"/>
  <c r="N63" i="107"/>
  <c r="M63" i="107"/>
  <c r="L63" i="107"/>
  <c r="K63" i="107"/>
  <c r="J63" i="107"/>
  <c r="I63" i="107"/>
  <c r="N62" i="107"/>
  <c r="M62" i="107"/>
  <c r="L62" i="107"/>
  <c r="K62" i="107"/>
  <c r="J62" i="107"/>
  <c r="I62" i="107"/>
  <c r="H61" i="107"/>
  <c r="G61" i="107"/>
  <c r="F61" i="107"/>
  <c r="E61" i="107"/>
  <c r="D61" i="107"/>
  <c r="C61" i="107"/>
  <c r="N58" i="107"/>
  <c r="M58" i="107"/>
  <c r="L58" i="107"/>
  <c r="K58" i="107"/>
  <c r="J58" i="107"/>
  <c r="I58" i="107"/>
  <c r="N57" i="107"/>
  <c r="M57" i="107"/>
  <c r="L57" i="107"/>
  <c r="K57" i="107"/>
  <c r="J57" i="107"/>
  <c r="I57" i="107"/>
  <c r="N56" i="107"/>
  <c r="M56" i="107"/>
  <c r="L56" i="107"/>
  <c r="K56" i="107"/>
  <c r="J56" i="107"/>
  <c r="I56" i="107"/>
  <c r="N55" i="107"/>
  <c r="M55" i="107"/>
  <c r="L55" i="107"/>
  <c r="K55" i="107"/>
  <c r="J55" i="107"/>
  <c r="I55" i="107"/>
  <c r="N54" i="107"/>
  <c r="M54" i="107"/>
  <c r="L54" i="107"/>
  <c r="K54" i="107"/>
  <c r="J54" i="107"/>
  <c r="I54" i="107"/>
  <c r="N53" i="107"/>
  <c r="M53" i="107"/>
  <c r="L53" i="107"/>
  <c r="K53" i="107"/>
  <c r="J53" i="107"/>
  <c r="I53" i="107"/>
  <c r="N52" i="107"/>
  <c r="M52" i="107"/>
  <c r="L52" i="107"/>
  <c r="K52" i="107"/>
  <c r="J52" i="107"/>
  <c r="I52" i="107"/>
  <c r="H51" i="107"/>
  <c r="G51" i="107"/>
  <c r="F51" i="107"/>
  <c r="E51" i="107"/>
  <c r="D51" i="107"/>
  <c r="C51" i="107"/>
  <c r="N49" i="107"/>
  <c r="M49" i="107"/>
  <c r="L49" i="107"/>
  <c r="K49" i="107"/>
  <c r="J49" i="107"/>
  <c r="I49" i="107"/>
  <c r="N48" i="107"/>
  <c r="M48" i="107"/>
  <c r="L48" i="107"/>
  <c r="K48" i="107"/>
  <c r="J48" i="107"/>
  <c r="J46" i="107" s="1"/>
  <c r="I48" i="107"/>
  <c r="N47" i="107"/>
  <c r="M47" i="107"/>
  <c r="L47" i="107"/>
  <c r="L46" i="107" s="1"/>
  <c r="K47" i="107"/>
  <c r="J47" i="107"/>
  <c r="I47" i="107"/>
  <c r="N46" i="107"/>
  <c r="H46" i="107"/>
  <c r="G46" i="107"/>
  <c r="F46" i="107"/>
  <c r="E46" i="107"/>
  <c r="D46" i="107"/>
  <c r="C46" i="107"/>
  <c r="N44" i="107"/>
  <c r="M44" i="107"/>
  <c r="L44" i="107"/>
  <c r="K44" i="107"/>
  <c r="J44" i="107"/>
  <c r="I44" i="107"/>
  <c r="N43" i="107"/>
  <c r="M43" i="107"/>
  <c r="L43" i="107"/>
  <c r="K43" i="107"/>
  <c r="J43" i="107"/>
  <c r="I43" i="107"/>
  <c r="N42" i="107"/>
  <c r="M42" i="107"/>
  <c r="L42" i="107"/>
  <c r="K42" i="107"/>
  <c r="J42" i="107"/>
  <c r="I42" i="107"/>
  <c r="N41" i="107"/>
  <c r="M41" i="107"/>
  <c r="L41" i="107"/>
  <c r="K41" i="107"/>
  <c r="J41" i="107"/>
  <c r="I41" i="107"/>
  <c r="N40" i="107"/>
  <c r="M40" i="107"/>
  <c r="L40" i="107"/>
  <c r="K40" i="107"/>
  <c r="J40" i="107"/>
  <c r="I40" i="107"/>
  <c r="N39" i="107"/>
  <c r="M39" i="107"/>
  <c r="L39" i="107"/>
  <c r="K39" i="107"/>
  <c r="J39" i="107"/>
  <c r="I39" i="107"/>
  <c r="N38" i="107"/>
  <c r="M38" i="107"/>
  <c r="L38" i="107"/>
  <c r="K38" i="107"/>
  <c r="J38" i="107"/>
  <c r="I38" i="107"/>
  <c r="I37" i="107" s="1"/>
  <c r="H37" i="107"/>
  <c r="G37" i="107"/>
  <c r="F37" i="107"/>
  <c r="E37" i="107"/>
  <c r="D37" i="107"/>
  <c r="C37" i="107"/>
  <c r="N36" i="107"/>
  <c r="M36" i="107"/>
  <c r="L36" i="107"/>
  <c r="K36" i="107"/>
  <c r="J36" i="107"/>
  <c r="I36" i="107"/>
  <c r="N35" i="107"/>
  <c r="M35" i="107"/>
  <c r="L35" i="107"/>
  <c r="K35" i="107"/>
  <c r="J35" i="107"/>
  <c r="I35" i="107"/>
  <c r="N34" i="107"/>
  <c r="M34" i="107"/>
  <c r="L34" i="107"/>
  <c r="K34" i="107"/>
  <c r="J34" i="107"/>
  <c r="I34" i="107"/>
  <c r="N33" i="107"/>
  <c r="M33" i="107"/>
  <c r="L33" i="107"/>
  <c r="K33" i="107"/>
  <c r="J33" i="107"/>
  <c r="I33" i="107"/>
  <c r="N32" i="107"/>
  <c r="M32" i="107"/>
  <c r="L32" i="107"/>
  <c r="K32" i="107"/>
  <c r="J32" i="107"/>
  <c r="I32" i="107"/>
  <c r="N31" i="107"/>
  <c r="M31" i="107"/>
  <c r="L31" i="107"/>
  <c r="K31" i="107"/>
  <c r="J31" i="107"/>
  <c r="I31" i="107"/>
  <c r="N30" i="107"/>
  <c r="M30" i="107"/>
  <c r="L30" i="107"/>
  <c r="K30" i="107"/>
  <c r="J30" i="107"/>
  <c r="I30" i="107"/>
  <c r="N29" i="107"/>
  <c r="M29" i="107"/>
  <c r="L29" i="107"/>
  <c r="K29" i="107"/>
  <c r="J29" i="107"/>
  <c r="I29" i="107"/>
  <c r="N28" i="107"/>
  <c r="M28" i="107"/>
  <c r="L28" i="107"/>
  <c r="K28" i="107"/>
  <c r="J28" i="107"/>
  <c r="I28" i="107"/>
  <c r="N27" i="107"/>
  <c r="M27" i="107"/>
  <c r="L27" i="107"/>
  <c r="K27" i="107"/>
  <c r="J27" i="107"/>
  <c r="I27" i="107"/>
  <c r="N26" i="107"/>
  <c r="M26" i="107"/>
  <c r="L26" i="107"/>
  <c r="K26" i="107"/>
  <c r="J26" i="107"/>
  <c r="I26" i="107"/>
  <c r="N25" i="107"/>
  <c r="M25" i="107"/>
  <c r="L25" i="107"/>
  <c r="K25" i="107"/>
  <c r="J25" i="107"/>
  <c r="I25" i="107"/>
  <c r="H24" i="107"/>
  <c r="G24" i="107"/>
  <c r="F24" i="107"/>
  <c r="E24" i="107"/>
  <c r="D24" i="107"/>
  <c r="C24" i="107"/>
  <c r="N22" i="107"/>
  <c r="M22" i="107"/>
  <c r="L22" i="107"/>
  <c r="K22" i="107"/>
  <c r="J22" i="107"/>
  <c r="I22" i="107"/>
  <c r="N21" i="107"/>
  <c r="M21" i="107"/>
  <c r="L21" i="107"/>
  <c r="K21" i="107"/>
  <c r="J21" i="107"/>
  <c r="I21" i="107"/>
  <c r="N20" i="107"/>
  <c r="M20" i="107"/>
  <c r="L20" i="107"/>
  <c r="K20" i="107"/>
  <c r="J20" i="107"/>
  <c r="I20" i="107"/>
  <c r="N19" i="107"/>
  <c r="M19" i="107"/>
  <c r="L19" i="107"/>
  <c r="K19" i="107"/>
  <c r="J19" i="107"/>
  <c r="I19" i="107"/>
  <c r="N18" i="107"/>
  <c r="M18" i="107"/>
  <c r="L18" i="107"/>
  <c r="K18" i="107"/>
  <c r="J18" i="107"/>
  <c r="I18" i="107"/>
  <c r="N17" i="107"/>
  <c r="M17" i="107"/>
  <c r="L17" i="107"/>
  <c r="K17" i="107"/>
  <c r="J17" i="107"/>
  <c r="I17" i="107"/>
  <c r="N16" i="107"/>
  <c r="M16" i="107"/>
  <c r="L16" i="107"/>
  <c r="K16" i="107"/>
  <c r="J16" i="107"/>
  <c r="I16" i="107"/>
  <c r="N15" i="107"/>
  <c r="M15" i="107"/>
  <c r="L15" i="107"/>
  <c r="K15" i="107"/>
  <c r="J15" i="107"/>
  <c r="I15" i="107"/>
  <c r="N14" i="107"/>
  <c r="M14" i="107"/>
  <c r="L14" i="107"/>
  <c r="K14" i="107"/>
  <c r="J14" i="107"/>
  <c r="I14" i="107"/>
  <c r="N13" i="107"/>
  <c r="M13" i="107"/>
  <c r="L13" i="107"/>
  <c r="K13" i="107"/>
  <c r="J13" i="107"/>
  <c r="I13" i="107"/>
  <c r="N12" i="107"/>
  <c r="M12" i="107"/>
  <c r="L12" i="107"/>
  <c r="K12" i="107"/>
  <c r="J12" i="107"/>
  <c r="I12" i="107"/>
  <c r="N11" i="107"/>
  <c r="M11" i="107"/>
  <c r="L11" i="107"/>
  <c r="K11" i="107"/>
  <c r="J11" i="107"/>
  <c r="I11" i="107"/>
  <c r="N10" i="107"/>
  <c r="M10" i="107"/>
  <c r="L10" i="107"/>
  <c r="K10" i="107"/>
  <c r="J10" i="107"/>
  <c r="I10" i="107"/>
  <c r="N9" i="107"/>
  <c r="M9" i="107"/>
  <c r="L9" i="107"/>
  <c r="K9" i="107"/>
  <c r="J9" i="107"/>
  <c r="I9" i="107"/>
  <c r="N8" i="107"/>
  <c r="M8" i="107"/>
  <c r="L8" i="107"/>
  <c r="K8" i="107"/>
  <c r="J8" i="107"/>
  <c r="I8" i="107"/>
  <c r="N7" i="107"/>
  <c r="M7" i="107"/>
  <c r="L7" i="107"/>
  <c r="K7" i="107"/>
  <c r="J7" i="107"/>
  <c r="I7" i="107"/>
  <c r="N6" i="107"/>
  <c r="M6" i="107"/>
  <c r="L6" i="107"/>
  <c r="K6" i="107"/>
  <c r="J6" i="107"/>
  <c r="I6" i="107"/>
  <c r="H5" i="107"/>
  <c r="G5" i="107"/>
  <c r="F5" i="107"/>
  <c r="E5" i="107"/>
  <c r="D5" i="107"/>
  <c r="C5" i="107"/>
  <c r="K7" i="58"/>
  <c r="J7" i="58"/>
  <c r="I7" i="58"/>
  <c r="H7" i="58"/>
  <c r="G7" i="58"/>
  <c r="F7" i="58"/>
  <c r="E7" i="58"/>
  <c r="D7" i="58"/>
  <c r="C7" i="58"/>
  <c r="B7" i="58"/>
  <c r="K5" i="107" l="1"/>
  <c r="I5" i="107"/>
  <c r="M5" i="107"/>
  <c r="I24" i="107"/>
  <c r="J68" i="107"/>
  <c r="I61" i="107"/>
  <c r="M61" i="107"/>
  <c r="L51" i="107"/>
  <c r="J5" i="107"/>
  <c r="N5" i="107"/>
  <c r="J24" i="107"/>
  <c r="N24" i="107"/>
  <c r="L24" i="107"/>
  <c r="M37" i="107"/>
  <c r="N61" i="107"/>
  <c r="L5" i="107"/>
  <c r="M24" i="107"/>
  <c r="J37" i="107"/>
  <c r="N37" i="107"/>
  <c r="L37" i="107"/>
  <c r="I51" i="107"/>
  <c r="M51" i="107"/>
  <c r="L61" i="107"/>
  <c r="J61" i="107"/>
  <c r="K68" i="107"/>
  <c r="I68" i="107"/>
  <c r="M68" i="107"/>
  <c r="K61" i="107"/>
  <c r="N68" i="107"/>
  <c r="J51" i="107"/>
  <c r="N51" i="107"/>
  <c r="K51" i="107"/>
  <c r="I46" i="107"/>
  <c r="M46" i="107"/>
  <c r="K46" i="107"/>
  <c r="K37" i="107"/>
  <c r="K24" i="107"/>
  <c r="L6" i="45"/>
  <c r="K6" i="45"/>
  <c r="L6" i="44"/>
  <c r="K6" i="44"/>
  <c r="C6" i="44"/>
  <c r="D6" i="44"/>
  <c r="E6" i="44"/>
  <c r="F6" i="44"/>
  <c r="G6" i="44"/>
  <c r="H6" i="44"/>
  <c r="I6" i="44"/>
  <c r="J6" i="44"/>
  <c r="B6" i="44"/>
  <c r="L6" i="43"/>
  <c r="K6" i="43"/>
  <c r="C6" i="43"/>
  <c r="D6" i="43"/>
  <c r="E6" i="43"/>
  <c r="F6" i="43"/>
  <c r="G6" i="43"/>
  <c r="H6" i="43"/>
  <c r="I6" i="43"/>
  <c r="J6" i="43"/>
  <c r="B6" i="43"/>
  <c r="R6" i="37"/>
  <c r="Q6" i="37"/>
  <c r="C6" i="37"/>
  <c r="D6" i="37"/>
  <c r="E6" i="37"/>
  <c r="F6" i="37"/>
  <c r="G6" i="37"/>
  <c r="H6" i="37"/>
  <c r="I6" i="37"/>
  <c r="J6" i="37"/>
  <c r="K6" i="37"/>
  <c r="L6" i="37"/>
  <c r="M6" i="37"/>
  <c r="N6" i="37"/>
  <c r="O6" i="37"/>
  <c r="P6" i="37"/>
  <c r="B6" i="37"/>
  <c r="R6" i="36"/>
  <c r="Q6" i="36"/>
  <c r="C6" i="36"/>
  <c r="D6" i="36"/>
  <c r="E6" i="36"/>
  <c r="F6" i="36"/>
  <c r="G6" i="36"/>
  <c r="H6" i="36"/>
  <c r="I6" i="36"/>
  <c r="J6" i="36"/>
  <c r="K6" i="36"/>
  <c r="L6" i="36"/>
  <c r="M6" i="36"/>
  <c r="N6" i="36"/>
  <c r="O6" i="36"/>
  <c r="P6" i="36"/>
  <c r="B6" i="36"/>
  <c r="N4" i="35"/>
  <c r="M4" i="35"/>
  <c r="P4" i="33"/>
  <c r="Q4" i="33"/>
  <c r="O4" i="33"/>
  <c r="J7" i="30"/>
  <c r="J7" i="18"/>
  <c r="I7" i="18"/>
  <c r="J6" i="18"/>
  <c r="I6" i="18"/>
  <c r="P5" i="18"/>
  <c r="O5" i="18"/>
  <c r="N5" i="18"/>
  <c r="M5" i="18"/>
  <c r="L5" i="18"/>
  <c r="K5" i="18"/>
  <c r="H5" i="18"/>
  <c r="I5" i="18" s="1"/>
  <c r="G5" i="18"/>
  <c r="F5" i="18"/>
  <c r="J5" i="18" s="1"/>
  <c r="E5" i="18"/>
  <c r="C5" i="18"/>
  <c r="B5" i="18"/>
  <c r="C5" i="14"/>
  <c r="D5" i="14"/>
  <c r="E5" i="14"/>
  <c r="F5" i="14"/>
  <c r="G5" i="14"/>
  <c r="H5" i="14"/>
  <c r="I5" i="14"/>
  <c r="B5" i="14"/>
  <c r="C5" i="13"/>
  <c r="D5" i="13"/>
  <c r="E5" i="13"/>
  <c r="F5" i="13"/>
  <c r="G5" i="13"/>
  <c r="H5" i="13"/>
  <c r="I5" i="13"/>
  <c r="B5" i="13"/>
  <c r="C5" i="99"/>
  <c r="B5" i="99"/>
  <c r="K7" i="12"/>
  <c r="K5" i="12" s="1"/>
  <c r="J7" i="12"/>
  <c r="C5" i="12"/>
  <c r="D5" i="12"/>
  <c r="E5" i="12"/>
  <c r="F5" i="12"/>
  <c r="G5" i="12"/>
  <c r="H5" i="12"/>
  <c r="I5" i="12"/>
  <c r="J5" i="12"/>
  <c r="B5" i="12"/>
  <c r="N5" i="10"/>
  <c r="O5" i="10"/>
  <c r="D5" i="10"/>
  <c r="E5" i="10"/>
  <c r="F5" i="10"/>
  <c r="G5" i="10"/>
  <c r="H5" i="10"/>
  <c r="I5" i="10"/>
  <c r="J5" i="10"/>
  <c r="K5" i="10"/>
  <c r="L5" i="10"/>
  <c r="M5" i="10"/>
  <c r="C7" i="10"/>
  <c r="B7" i="10"/>
  <c r="C6" i="10"/>
  <c r="B6" i="10"/>
  <c r="C4" i="10"/>
  <c r="B4" i="10"/>
  <c r="D6" i="9"/>
  <c r="E6" i="9"/>
  <c r="F6" i="9"/>
  <c r="G6" i="9"/>
  <c r="H6" i="9"/>
  <c r="I6" i="9"/>
  <c r="J6" i="9"/>
  <c r="K6" i="9"/>
  <c r="L6" i="9"/>
  <c r="M6" i="9"/>
  <c r="N6" i="9"/>
  <c r="O6" i="9"/>
  <c r="P6" i="9"/>
  <c r="Q6" i="9"/>
  <c r="C8" i="9"/>
  <c r="B8" i="9"/>
  <c r="B6" i="9" s="1"/>
  <c r="C7" i="9"/>
  <c r="C6" i="9" s="1"/>
  <c r="B7" i="9"/>
  <c r="C5" i="9"/>
  <c r="B5" i="9"/>
  <c r="C4" i="7"/>
  <c r="B4" i="7"/>
  <c r="C5" i="10" l="1"/>
  <c r="B5" i="10"/>
  <c r="D7" i="6"/>
  <c r="E7" i="6"/>
  <c r="F7" i="6"/>
  <c r="G7" i="6"/>
  <c r="H7" i="6"/>
  <c r="I7" i="6"/>
  <c r="J7" i="6"/>
  <c r="K7" i="6"/>
  <c r="L7" i="6"/>
  <c r="M7" i="6"/>
  <c r="N7" i="6"/>
  <c r="O7" i="6"/>
  <c r="C9" i="6"/>
  <c r="B9" i="6"/>
  <c r="C7" i="5"/>
  <c r="D7" i="5"/>
  <c r="E7" i="5"/>
  <c r="F7" i="5"/>
  <c r="G7" i="5"/>
  <c r="B7" i="5"/>
  <c r="I5" i="52"/>
  <c r="H5" i="52"/>
  <c r="G5" i="52"/>
  <c r="F5" i="52"/>
  <c r="E5" i="52"/>
  <c r="D5" i="52"/>
  <c r="C5" i="52"/>
  <c r="B5" i="52"/>
  <c r="O5" i="49"/>
  <c r="N5" i="49"/>
  <c r="M5" i="49"/>
  <c r="H5" i="49"/>
  <c r="G5" i="49"/>
  <c r="F5" i="49"/>
  <c r="E5" i="49"/>
  <c r="D5" i="49"/>
  <c r="C5" i="49"/>
  <c r="B5" i="49"/>
  <c r="J6" i="45"/>
  <c r="I6" i="45"/>
  <c r="H6" i="45"/>
  <c r="G6" i="45"/>
  <c r="F6" i="45"/>
  <c r="E6" i="45"/>
  <c r="D6" i="45"/>
  <c r="C6" i="45"/>
  <c r="B6" i="45"/>
  <c r="E6" i="35"/>
  <c r="E5" i="35"/>
  <c r="K4" i="35"/>
  <c r="I4" i="35"/>
  <c r="G4" i="35"/>
  <c r="F4" i="35"/>
  <c r="D4" i="35"/>
  <c r="C4" i="35"/>
  <c r="B4" i="35"/>
  <c r="J7" i="29"/>
  <c r="J5" i="29"/>
  <c r="J6" i="53"/>
  <c r="I6" i="53"/>
  <c r="H6" i="53"/>
  <c r="G6" i="53"/>
  <c r="F6" i="53"/>
  <c r="E6" i="53"/>
  <c r="D6" i="53"/>
  <c r="C6" i="53"/>
  <c r="B6" i="53"/>
  <c r="C6" i="54"/>
  <c r="D6" i="54"/>
  <c r="E6" i="54"/>
  <c r="F6" i="54"/>
  <c r="G6" i="54"/>
  <c r="B6" i="54"/>
  <c r="G7" i="30"/>
  <c r="G6" i="30"/>
  <c r="K9" i="46"/>
  <c r="K8" i="46"/>
  <c r="K7" i="46"/>
  <c r="E4" i="35" l="1"/>
  <c r="C4" i="33" l="1"/>
  <c r="N4" i="33"/>
  <c r="M4" i="33"/>
  <c r="L4" i="33"/>
  <c r="K4" i="33"/>
  <c r="J4" i="33"/>
  <c r="I4" i="33"/>
  <c r="H4" i="33"/>
  <c r="G4" i="33"/>
  <c r="F4" i="33"/>
  <c r="E4" i="33"/>
  <c r="D4" i="33"/>
  <c r="B4" i="33"/>
  <c r="D5" i="29"/>
  <c r="D7" i="29"/>
  <c r="C5" i="17"/>
  <c r="C6" i="17"/>
  <c r="C4" i="17"/>
  <c r="I9" i="5"/>
  <c r="I7" i="5" s="1"/>
  <c r="H9" i="5"/>
  <c r="H7" i="5" s="1"/>
  <c r="A1" i="66" l="1"/>
  <c r="A1" i="65"/>
  <c r="A1" i="64"/>
  <c r="A1" i="63"/>
  <c r="A1" i="62"/>
  <c r="A1" i="58"/>
  <c r="A1" i="57"/>
  <c r="A1" i="56"/>
  <c r="A1" i="55"/>
  <c r="A1" i="54"/>
  <c r="A1" i="53"/>
  <c r="A1" i="52"/>
  <c r="A1" i="51"/>
  <c r="A1" i="50"/>
  <c r="A1" i="49"/>
  <c r="A1" i="48"/>
  <c r="A1" i="47"/>
  <c r="A1" i="46"/>
  <c r="A1" i="45"/>
  <c r="A1" i="44"/>
  <c r="A1" i="43"/>
  <c r="A1" i="42"/>
  <c r="A1" i="41"/>
  <c r="A1" i="40"/>
  <c r="A1" i="39"/>
  <c r="A1" i="38"/>
  <c r="A1" i="37"/>
  <c r="A1" i="36"/>
  <c r="A1" i="35"/>
  <c r="A1" i="34"/>
  <c r="A1" i="33"/>
  <c r="A1" i="32"/>
  <c r="A1" i="31"/>
  <c r="A1" i="30"/>
  <c r="A1" i="29"/>
  <c r="A1" i="28"/>
  <c r="A1" i="27"/>
  <c r="A1" i="26"/>
  <c r="A1" i="25"/>
  <c r="A1" i="24"/>
  <c r="A1" i="23"/>
  <c r="A1" i="20"/>
  <c r="A1" i="19"/>
  <c r="A1" i="18"/>
  <c r="A1" i="17"/>
  <c r="A1" i="16"/>
  <c r="A1" i="15"/>
  <c r="A1" i="14"/>
  <c r="A1" i="13"/>
  <c r="A1" i="99"/>
  <c r="A1" i="12"/>
  <c r="A1" i="11"/>
  <c r="A1" i="10"/>
  <c r="A1" i="9"/>
  <c r="A1" i="8"/>
  <c r="A1" i="7"/>
  <c r="A1" i="6"/>
  <c r="A1" i="5"/>
  <c r="A1" i="4"/>
  <c r="A1" i="3"/>
  <c r="A1" i="2"/>
  <c r="C27" i="8"/>
  <c r="B27" i="8"/>
  <c r="E27" i="8"/>
  <c r="D27" i="8"/>
  <c r="G27" i="8"/>
  <c r="F27" i="8"/>
  <c r="C8" i="6"/>
  <c r="C7" i="6" s="1"/>
  <c r="B8" i="6"/>
  <c r="B7" i="6" s="1"/>
  <c r="C6" i="6"/>
  <c r="B6" i="6"/>
  <c r="L35" i="97" l="1"/>
  <c r="K35" i="97"/>
  <c r="M35" i="97" s="1"/>
  <c r="M32" i="97"/>
  <c r="L32" i="97"/>
  <c r="K32" i="97"/>
  <c r="K21" i="96"/>
  <c r="K20" i="96"/>
  <c r="K19" i="96"/>
  <c r="K18" i="96"/>
  <c r="K17" i="96"/>
  <c r="K15" i="96"/>
  <c r="K14" i="96"/>
  <c r="K13" i="96"/>
  <c r="K12" i="96"/>
  <c r="K11" i="96"/>
  <c r="K10" i="96"/>
  <c r="K9" i="96"/>
  <c r="K8" i="96"/>
  <c r="K7" i="96"/>
  <c r="K6" i="96"/>
  <c r="K5" i="96"/>
  <c r="K39" i="95"/>
  <c r="K38" i="95"/>
  <c r="K36" i="95"/>
  <c r="K35" i="95"/>
  <c r="K34" i="95"/>
  <c r="K32" i="95"/>
  <c r="K31" i="95"/>
  <c r="K30" i="95"/>
  <c r="K27" i="95"/>
  <c r="K25" i="95"/>
  <c r="K24" i="95"/>
  <c r="K22" i="95"/>
  <c r="K21" i="95"/>
  <c r="K20" i="95"/>
  <c r="K19" i="95"/>
  <c r="K18" i="95"/>
  <c r="K16" i="95"/>
  <c r="K15" i="95"/>
  <c r="K14" i="95"/>
  <c r="K13" i="95"/>
  <c r="K12" i="95"/>
  <c r="K10" i="95"/>
  <c r="K8" i="95"/>
  <c r="K7" i="95"/>
  <c r="K6" i="95"/>
  <c r="I35" i="89"/>
  <c r="H35" i="89"/>
  <c r="J35" i="89" s="1"/>
  <c r="F35" i="89"/>
  <c r="E35" i="89"/>
  <c r="D35" i="89"/>
  <c r="I34" i="89"/>
  <c r="H34" i="89"/>
  <c r="J34" i="89" s="1"/>
  <c r="E34" i="89"/>
  <c r="F34" i="89" s="1"/>
  <c r="K34" i="89" s="1"/>
  <c r="D34" i="89"/>
  <c r="I33" i="89"/>
  <c r="H33" i="89"/>
  <c r="J33" i="89" s="1"/>
  <c r="E33" i="89"/>
  <c r="D33" i="89"/>
  <c r="I32" i="89"/>
  <c r="H32" i="89"/>
  <c r="J32" i="89" s="1"/>
  <c r="E32" i="89"/>
  <c r="D32" i="89"/>
  <c r="F32" i="89" s="1"/>
  <c r="I31" i="89"/>
  <c r="H31" i="89"/>
  <c r="J31" i="89" s="1"/>
  <c r="F31" i="89"/>
  <c r="E31" i="89"/>
  <c r="D31" i="89"/>
  <c r="J30" i="89"/>
  <c r="I30" i="89"/>
  <c r="H30" i="89"/>
  <c r="F30" i="89"/>
  <c r="K30" i="89" s="1"/>
  <c r="E30" i="89"/>
  <c r="D30" i="89"/>
  <c r="J29" i="89"/>
  <c r="I29" i="89"/>
  <c r="H29" i="89"/>
  <c r="E29" i="89"/>
  <c r="D29" i="89"/>
  <c r="F29" i="89" s="1"/>
  <c r="K29" i="89" s="1"/>
  <c r="I28" i="89"/>
  <c r="H28" i="89"/>
  <c r="J28" i="89" s="1"/>
  <c r="E28" i="89"/>
  <c r="D28" i="89"/>
  <c r="F28" i="89" s="1"/>
  <c r="I27" i="89"/>
  <c r="H27" i="89"/>
  <c r="J27" i="89" s="1"/>
  <c r="E27" i="89"/>
  <c r="D27" i="89"/>
  <c r="F27" i="89" l="1"/>
  <c r="K27" i="89" s="1"/>
  <c r="F33" i="89"/>
  <c r="K33" i="89" s="1"/>
  <c r="K28" i="89"/>
  <c r="K32" i="89"/>
  <c r="M27" i="89"/>
  <c r="K31" i="89"/>
  <c r="K35" i="89"/>
</calcChain>
</file>

<file path=xl/sharedStrings.xml><?xml version="1.0" encoding="utf-8"?>
<sst xmlns="http://schemas.openxmlformats.org/spreadsheetml/2006/main" count="2471" uniqueCount="1068">
  <si>
    <t xml:space="preserve">Bulletin Reports Summary for Apr-19              </t>
  </si>
  <si>
    <t>Report Name</t>
  </si>
  <si>
    <t>Data Status</t>
  </si>
  <si>
    <t>Data Available</t>
  </si>
  <si>
    <t xml:space="preserve">Market Intermediaries </t>
  </si>
  <si>
    <t>2018-19</t>
  </si>
  <si>
    <t>2019-20$</t>
  </si>
  <si>
    <t>Stock Exchanges (Cash Segment)</t>
  </si>
  <si>
    <t>Stock Exchanges (Equity Derivatives Segment)</t>
  </si>
  <si>
    <t>Stock Exchanges (Currency Derivatives Segment)</t>
  </si>
  <si>
    <t>Stock Exchanges (Commodity Derivatives Segment)</t>
  </si>
  <si>
    <t>Brokers (Cash Segment)</t>
  </si>
  <si>
    <t>Brokers (Equity Derivatives Segment)</t>
  </si>
  <si>
    <t>Brokers (Currency Derivatives Segment)</t>
  </si>
  <si>
    <t>Brokers (Debt Segment)</t>
  </si>
  <si>
    <t>Brokers (Commodity Derivatives Segment)</t>
  </si>
  <si>
    <t>Corporate  Brokers(Cash Segment)</t>
  </si>
  <si>
    <t>Foreign Portfolio Investors (FPIs)</t>
  </si>
  <si>
    <t>Custodians</t>
  </si>
  <si>
    <t>Depositories</t>
  </si>
  <si>
    <t>Depository Participants (NSDL)</t>
  </si>
  <si>
    <t>Depository Participants (CDSL)</t>
  </si>
  <si>
    <t>Merchant Bankers</t>
  </si>
  <si>
    <t>Bankers to an Issue</t>
  </si>
  <si>
    <t>Underwriters</t>
  </si>
  <si>
    <t>Debenture Trustees</t>
  </si>
  <si>
    <t>Credit Rating Agencies</t>
  </si>
  <si>
    <t>KYC Registration Agencies (KRA)</t>
  </si>
  <si>
    <t>Registrars to an Issue &amp; Share Transfer Agents</t>
  </si>
  <si>
    <t>Venture Capital Funds</t>
  </si>
  <si>
    <t>Foreign Venture Capital Investors</t>
  </si>
  <si>
    <t>Alternative Investment Funds</t>
  </si>
  <si>
    <t>Portfolio Managers</t>
  </si>
  <si>
    <t>Mutual Funds</t>
  </si>
  <si>
    <t>Investment Advisors</t>
  </si>
  <si>
    <t>Research Analysts</t>
  </si>
  <si>
    <t>Infrastructure Investment Trusts (InVIT)</t>
  </si>
  <si>
    <t>Collective Investment Schemes</t>
  </si>
  <si>
    <t>Approved Intermediaries (Stock Lending Schemes)</t>
  </si>
  <si>
    <t>STP (Centralised Hub)</t>
  </si>
  <si>
    <t>STP Service Providers</t>
  </si>
  <si>
    <t>Notes:</t>
  </si>
  <si>
    <t>Source: SEBI, NSDL.</t>
  </si>
  <si>
    <t>Sl.No.</t>
  </si>
  <si>
    <t>Name of the Issuer/Company</t>
  </si>
  <si>
    <t>Date of Opening</t>
  </si>
  <si>
    <t>Type of Issue</t>
  </si>
  <si>
    <t>Type of Instrument</t>
  </si>
  <si>
    <t>No. of Shares Issued</t>
  </si>
  <si>
    <t>Face Value (`)</t>
  </si>
  <si>
    <t>Premium Value (`)</t>
  </si>
  <si>
    <t>Issue Price (`)</t>
  </si>
  <si>
    <t>Size of Issue  (` Crore)</t>
  </si>
  <si>
    <t>Equity</t>
  </si>
  <si>
    <t>Rights</t>
  </si>
  <si>
    <t>Note: All the issues are compiled from the Prospectus of Issuer Companies filed with SEBI.</t>
  </si>
  <si>
    <t>Source: SEBI.</t>
  </si>
  <si>
    <t>Target Company</t>
  </si>
  <si>
    <t>Acquirer</t>
  </si>
  <si>
    <t>Offer Opening Date</t>
  </si>
  <si>
    <t>Offer Closing Date</t>
  </si>
  <si>
    <t>Year / Month</t>
  </si>
  <si>
    <t>Open Offers</t>
  </si>
  <si>
    <t>Objectives</t>
  </si>
  <si>
    <t>Total</t>
  </si>
  <si>
    <t>Change in Control 
of Management</t>
  </si>
  <si>
    <t>Consolidation of
 Holdings</t>
  </si>
  <si>
    <t>Substantial 
Acquisition</t>
  </si>
  <si>
    <t>No. of Offers</t>
  </si>
  <si>
    <t>Amount (` crore)</t>
  </si>
  <si>
    <t>Apr-19</t>
  </si>
  <si>
    <t>Category-Wise</t>
  </si>
  <si>
    <t>Issue-Type</t>
  </si>
  <si>
    <t>Instrument-Wise</t>
  </si>
  <si>
    <t>Public</t>
  </si>
  <si>
    <t>Listed</t>
  </si>
  <si>
    <t>IPOs</t>
  </si>
  <si>
    <t>Equities</t>
  </si>
  <si>
    <t>Debt</t>
  </si>
  <si>
    <t>At Par</t>
  </si>
  <si>
    <t>At Premium</t>
  </si>
  <si>
    <t>No. of issues</t>
  </si>
  <si>
    <t>Year/ Month</t>
  </si>
  <si>
    <t>No. of issue</t>
  </si>
  <si>
    <t>Amount  (`crore)</t>
  </si>
  <si>
    <t>Source: SEBI</t>
  </si>
  <si>
    <t>Industry</t>
  </si>
  <si>
    <t>Amount (`crore)</t>
  </si>
  <si>
    <t>Airlines</t>
  </si>
  <si>
    <t>Automobiles</t>
  </si>
  <si>
    <t>Consumer Services</t>
  </si>
  <si>
    <t>Electronic Equipments/ Products</t>
  </si>
  <si>
    <t>Engineering</t>
  </si>
  <si>
    <t>Entertainment</t>
  </si>
  <si>
    <t>Finance</t>
  </si>
  <si>
    <t>Food processing</t>
  </si>
  <si>
    <t>Healthcare</t>
  </si>
  <si>
    <t>Hotels</t>
  </si>
  <si>
    <t>Info Tech</t>
  </si>
  <si>
    <t>Telecom</t>
  </si>
  <si>
    <t>Plastic</t>
  </si>
  <si>
    <t>Power</t>
  </si>
  <si>
    <t>Printing</t>
  </si>
  <si>
    <t>Insurance</t>
  </si>
  <si>
    <t>Sector-wise</t>
  </si>
  <si>
    <t>Region-wise</t>
  </si>
  <si>
    <t>Private</t>
  </si>
  <si>
    <t>Northern</t>
  </si>
  <si>
    <t>Eastern</t>
  </si>
  <si>
    <t>Western</t>
  </si>
  <si>
    <t>Southern</t>
  </si>
  <si>
    <t>Central</t>
  </si>
  <si>
    <t>No. of Issue</t>
  </si>
  <si>
    <t>Amount (`Crores)</t>
  </si>
  <si>
    <t>Amount (` Crores)</t>
  </si>
  <si>
    <t>&lt; 5 crore</t>
  </si>
  <si>
    <t>≥ 5crore - &lt; 10crore</t>
  </si>
  <si>
    <t xml:space="preserve">  ≥ 10 crore - &lt; 50 crore</t>
  </si>
  <si>
    <t xml:space="preserve">  ≥ 50 crore - &lt; 100 crore</t>
  </si>
  <si>
    <t>Only BSE</t>
  </si>
  <si>
    <t>Only NSE</t>
  </si>
  <si>
    <t>Only MSEI</t>
  </si>
  <si>
    <t>Both NSE and BSE</t>
  </si>
  <si>
    <t>Source: BSE, NSE and MSEI.</t>
  </si>
  <si>
    <t>Year/Month</t>
  </si>
  <si>
    <t>No. of  issues</t>
  </si>
  <si>
    <t>TOTAL</t>
  </si>
  <si>
    <t>No. of Issues</t>
  </si>
  <si>
    <t>Source: BSE and NSE</t>
  </si>
  <si>
    <t>BSE</t>
  </si>
  <si>
    <t>NSE</t>
  </si>
  <si>
    <t>MSEI</t>
  </si>
  <si>
    <t>No. of Trades</t>
  </si>
  <si>
    <t>Traded Value (` crore)</t>
  </si>
  <si>
    <t>Grade</t>
  </si>
  <si>
    <t>Investment Grade</t>
  </si>
  <si>
    <t>Non-Investment Grade</t>
  </si>
  <si>
    <t>Highest Safety (AAA)</t>
  </si>
  <si>
    <t>High Safety (AA)</t>
  </si>
  <si>
    <t>Adequate Safety (A)</t>
  </si>
  <si>
    <t>Moderate Safety (BBB)</t>
  </si>
  <si>
    <t>Period</t>
  </si>
  <si>
    <t>Amount  (` crore)</t>
  </si>
  <si>
    <t>Source: Credit Rating Agencies.</t>
  </si>
  <si>
    <t>Upgraded</t>
  </si>
  <si>
    <t>Downgraded</t>
  </si>
  <si>
    <t>Reaffirmed</t>
  </si>
  <si>
    <t>Rating Watch</t>
  </si>
  <si>
    <t>Withdrawn/ Suspended</t>
  </si>
  <si>
    <t>Stock Exchanges</t>
  </si>
  <si>
    <t xml:space="preserve">No. of Companies Listed </t>
  </si>
  <si>
    <t xml:space="preserve">No. of Companies Permitted* </t>
  </si>
  <si>
    <t xml:space="preserve">No. of companies traded </t>
  </si>
  <si>
    <t>No. of Trading Days</t>
  </si>
  <si>
    <t>No. of Trades (Lakh)</t>
  </si>
  <si>
    <t>Traded Quantity (Lakh)</t>
  </si>
  <si>
    <t>Turnover (` crore)</t>
  </si>
  <si>
    <t>Average Daily Turnover (` crore)</t>
  </si>
  <si>
    <t>Average Trade Size (`)</t>
  </si>
  <si>
    <t>Demat Securities Traded (Lakh)</t>
  </si>
  <si>
    <t>Demat Turnover (` crore)</t>
  </si>
  <si>
    <t xml:space="preserve">Market  Capitalisation (` crore) </t>
  </si>
  <si>
    <t xml:space="preserve">S&amp;P BSE Sensex </t>
  </si>
  <si>
    <t>High</t>
  </si>
  <si>
    <t>Low</t>
  </si>
  <si>
    <t>Close</t>
  </si>
  <si>
    <t>Source: BSE .</t>
  </si>
  <si>
    <t xml:space="preserve">Nifty 50 Index </t>
  </si>
  <si>
    <t>Turnover Data compiled for all markets except auction market</t>
  </si>
  <si>
    <t>Source: NSE</t>
  </si>
  <si>
    <t>No. of Companies Permitted #</t>
  </si>
  <si>
    <t>No. of Companies Traded</t>
  </si>
  <si>
    <t>Turnover (₹ crore)</t>
  </si>
  <si>
    <t>Average Daily Turnover (₹ crore)</t>
  </si>
  <si>
    <t>Demat Turnover (₹ crore)</t>
  </si>
  <si>
    <t xml:space="preserve">Market  Capitalisation (₹ crore) </t>
  </si>
  <si>
    <t xml:space="preserve">SX 50 Index </t>
  </si>
  <si>
    <t>Source: MSEI</t>
  </si>
  <si>
    <t>(Percentage share in Turnover)</t>
  </si>
  <si>
    <t>S.No</t>
  </si>
  <si>
    <t>City</t>
  </si>
  <si>
    <t>Ahmedabad</t>
  </si>
  <si>
    <t>Bengaluru</t>
  </si>
  <si>
    <t>Bhubneshwar</t>
  </si>
  <si>
    <t>Chennai</t>
  </si>
  <si>
    <t>Coimbatore</t>
  </si>
  <si>
    <t>New Delhi</t>
  </si>
  <si>
    <t>Guwahati</t>
  </si>
  <si>
    <t>Hyderabad</t>
  </si>
  <si>
    <t>Indore</t>
  </si>
  <si>
    <t>Jaipur</t>
  </si>
  <si>
    <t>Kanpur</t>
  </si>
  <si>
    <t>Kolkata</t>
  </si>
  <si>
    <t>Ludhiana</t>
  </si>
  <si>
    <t>Mangalore</t>
  </si>
  <si>
    <t>Mumbai</t>
  </si>
  <si>
    <t>Patna</t>
  </si>
  <si>
    <t>Pune</t>
  </si>
  <si>
    <t>Rajkot</t>
  </si>
  <si>
    <t>Others</t>
  </si>
  <si>
    <t xml:space="preserve">Notes: </t>
  </si>
  <si>
    <t>1. The city-wise distribution of turnover is based on the cities uploaded in the UCC database of the Exchange for clientele trades and members registered office city for proprietary trades.</t>
  </si>
  <si>
    <t>Percentage Share in Turnover</t>
  </si>
  <si>
    <t>Proprietary</t>
  </si>
  <si>
    <t>FPIs</t>
  </si>
  <si>
    <t>Banks</t>
  </si>
  <si>
    <t xml:space="preserve">Source: BSE. </t>
  </si>
  <si>
    <t>Year /Month</t>
  </si>
  <si>
    <t xml:space="preserve">Source: NSE. </t>
  </si>
  <si>
    <t xml:space="preserve">Source: MSEI. </t>
  </si>
  <si>
    <t>Name of Security</t>
  </si>
  <si>
    <t>Beta</t>
  </si>
  <si>
    <t>RELIANCE</t>
  </si>
  <si>
    <t>HDFC</t>
  </si>
  <si>
    <t>LARSEN &amp; TOU</t>
  </si>
  <si>
    <t>KOTAK MAH.BK</t>
  </si>
  <si>
    <t>INDUSIND BNK</t>
  </si>
  <si>
    <t>BAJFINANCE</t>
  </si>
  <si>
    <t>ASIAN PAINTS</t>
  </si>
  <si>
    <t>HEROMOTOCO</t>
  </si>
  <si>
    <t>VEDL</t>
  </si>
  <si>
    <t>2. The coefficient of determination (R2) measures the strength of relationship between two variables the return on  a security versus that of the market.</t>
  </si>
  <si>
    <t>3. Volatility is the standard deviation of the daily returns for the trailing 12 months.</t>
  </si>
  <si>
    <t>4. Impact cost is calculated as the difference between actual buy price and ideal buy price, divided by ideal buy price, multiplied by 100. Hence ideal price is calculated as (best buy + best sell)/2.</t>
  </si>
  <si>
    <t>5. The above is calculated for a month for the portfolio size of ` 5 lakh.  It is calculated for the current month.</t>
  </si>
  <si>
    <t>Source: BSE.</t>
  </si>
  <si>
    <t>HDFC Bank Ltd.</t>
  </si>
  <si>
    <t>Reliance Industries Ltd.</t>
  </si>
  <si>
    <t>Housing Development Finance Corporation Ltd.</t>
  </si>
  <si>
    <t>Infosys Ltd.</t>
  </si>
  <si>
    <t>ICICI Bank Ltd.</t>
  </si>
  <si>
    <t>ITC Ltd.</t>
  </si>
  <si>
    <t>Tata Consultancy Services Ltd.</t>
  </si>
  <si>
    <t>Kotak Mahindra Bank Ltd.</t>
  </si>
  <si>
    <t>Larsen &amp; Toubro Ltd.</t>
  </si>
  <si>
    <t>Axis Bank Ltd.</t>
  </si>
  <si>
    <t>Hindustan Unilever Ltd.</t>
  </si>
  <si>
    <t>State Bank of India</t>
  </si>
  <si>
    <t>Maruti Suzuki India Ltd.</t>
  </si>
  <si>
    <t>IndusInd Bank Ltd.</t>
  </si>
  <si>
    <t>Bajaj Finance Ltd.</t>
  </si>
  <si>
    <t>Asian Paints Ltd.</t>
  </si>
  <si>
    <t>HCL Technologies Ltd.</t>
  </si>
  <si>
    <t>Mahindra &amp; Mahindra Ltd.</t>
  </si>
  <si>
    <t>NTPC Ltd.</t>
  </si>
  <si>
    <t>Bharti Airtel Ltd.</t>
  </si>
  <si>
    <t>Tech Mahindra Ltd.</t>
  </si>
  <si>
    <t>Oil &amp; Natural Gas Corporation Ltd.</t>
  </si>
  <si>
    <t>Sun Pharmaceutical Industries Ltd.</t>
  </si>
  <si>
    <t>Titan Company Ltd.</t>
  </si>
  <si>
    <t>UltraTech Cement Ltd.</t>
  </si>
  <si>
    <t>Bajaj Finserv Ltd.</t>
  </si>
  <si>
    <t>Wipro Ltd.</t>
  </si>
  <si>
    <t>Power Grid Corporation of India Ltd.</t>
  </si>
  <si>
    <t>Coal India Ltd.</t>
  </si>
  <si>
    <t>Tata Steel Ltd.</t>
  </si>
  <si>
    <t>Bajaj Auto Ltd.</t>
  </si>
  <si>
    <t>Tata Motors Ltd.</t>
  </si>
  <si>
    <t>Indian Oil Corporation Ltd.</t>
  </si>
  <si>
    <t>Dr. Reddy's Laboratories Ltd.</t>
  </si>
  <si>
    <t>Grasim Industries Ltd.</t>
  </si>
  <si>
    <t>UPL Ltd.</t>
  </si>
  <si>
    <t>Britannia Industries Ltd.</t>
  </si>
  <si>
    <t>Hero MotoCorp Ltd.</t>
  </si>
  <si>
    <t>GAIL (India) Ltd.</t>
  </si>
  <si>
    <t>JSW Steel Ltd.</t>
  </si>
  <si>
    <t>Yes Bank Ltd.</t>
  </si>
  <si>
    <t>Adani Ports and Special Economic Zone Ltd.</t>
  </si>
  <si>
    <t>Vedanta Ltd.</t>
  </si>
  <si>
    <t>Hindalco Industries Ltd.</t>
  </si>
  <si>
    <t>Bharat Petroleum Corporation Ltd.</t>
  </si>
  <si>
    <t>Cipla Ltd.</t>
  </si>
  <si>
    <t>Eicher Motors Ltd.</t>
  </si>
  <si>
    <t>Zee Entertainment Enterprises Ltd.</t>
  </si>
  <si>
    <t>Indiabulls Housing Finance Ltd.</t>
  </si>
  <si>
    <t>Bharti Infratel Ltd.</t>
  </si>
  <si>
    <t>Source: NSE.</t>
  </si>
  <si>
    <t xml:space="preserve">Weightage (Percent)   </t>
  </si>
  <si>
    <t>Daily Volatility (Percent)</t>
  </si>
  <si>
    <t>Monthly Return (Percent)</t>
  </si>
  <si>
    <t>HDFCBANK</t>
  </si>
  <si>
    <t>Na</t>
  </si>
  <si>
    <t>INFY</t>
  </si>
  <si>
    <t>ICICIBANK</t>
  </si>
  <si>
    <t>ITC</t>
  </si>
  <si>
    <t>TCS</t>
  </si>
  <si>
    <t>KOTAKBANK</t>
  </si>
  <si>
    <t>LT</t>
  </si>
  <si>
    <t>AXISBANK</t>
  </si>
  <si>
    <t>HINDUNILVR</t>
  </si>
  <si>
    <t>SBIN</t>
  </si>
  <si>
    <t>MARUTI</t>
  </si>
  <si>
    <t>INDUSINDBK</t>
  </si>
  <si>
    <t>HCLTECH</t>
  </si>
  <si>
    <t>ASIANPAINT</t>
  </si>
  <si>
    <t>M&amp;M</t>
  </si>
  <si>
    <t>NTPC</t>
  </si>
  <si>
    <t>BHARTIARTL</t>
  </si>
  <si>
    <t>TECHM</t>
  </si>
  <si>
    <t>ONGC</t>
  </si>
  <si>
    <t>SUNPHARMA</t>
  </si>
  <si>
    <t>WIPRO</t>
  </si>
  <si>
    <t>TATASTEEL</t>
  </si>
  <si>
    <t>COALINDIA</t>
  </si>
  <si>
    <t>POWERGRID</t>
  </si>
  <si>
    <t>TATAMOTORS</t>
  </si>
  <si>
    <t>IOC</t>
  </si>
  <si>
    <t>BAJAJ-AUTO</t>
  </si>
  <si>
    <t>DRREDDY</t>
  </si>
  <si>
    <t>GRASIM</t>
  </si>
  <si>
    <t>YESBANK</t>
  </si>
  <si>
    <t>ADANIPORTS</t>
  </si>
  <si>
    <t>HINDALCO</t>
  </si>
  <si>
    <t>BPCL</t>
  </si>
  <si>
    <t>EICHERMOT</t>
  </si>
  <si>
    <t>1. Market Cap, Beta &amp; R2 as on the last day of the month</t>
  </si>
  <si>
    <t>2. Beta &amp; R2 are calculated for the trailing 12 months</t>
  </si>
  <si>
    <t>3. Volatility for the current month</t>
  </si>
  <si>
    <t xml:space="preserve">4. *Since there is no trading in the SX40 constituents, the Impact Cost for the given stocks is NIL. </t>
  </si>
  <si>
    <t>Source: MSEI.</t>
  </si>
  <si>
    <t>Advances</t>
  </si>
  <si>
    <t>Declines</t>
  </si>
  <si>
    <t>Advance/Decline Ratio</t>
  </si>
  <si>
    <t xml:space="preserve">Note: Advance/Decline is calculated based on the average price methodology.                                                                           </t>
  </si>
  <si>
    <t>Month</t>
  </si>
  <si>
    <t>No. of Companies Listed</t>
  </si>
  <si>
    <t>Percent of Traded to Listed</t>
  </si>
  <si>
    <t>BSE Sensex</t>
  </si>
  <si>
    <t>BSE 100</t>
  </si>
  <si>
    <t>BSE 500</t>
  </si>
  <si>
    <t>Nifty 50</t>
  </si>
  <si>
    <t>Nifty Next 50</t>
  </si>
  <si>
    <t>Nifty 500</t>
  </si>
  <si>
    <t>SX40</t>
  </si>
  <si>
    <t xml:space="preserve">Note: Volatility is calculated as the standard deviation of the natural log of daily returns in indices for the respective period. </t>
  </si>
  <si>
    <t>Source: BSE, MSEI and NSE.</t>
  </si>
  <si>
    <t>Top</t>
  </si>
  <si>
    <t>5</t>
  </si>
  <si>
    <t>10</t>
  </si>
  <si>
    <t>25</t>
  </si>
  <si>
    <t>50</t>
  </si>
  <si>
    <t>100</t>
  </si>
  <si>
    <t>Securities</t>
  </si>
  <si>
    <t>Members</t>
  </si>
  <si>
    <t>Notes: 1. Data for Top N scrips has been compiled for all markets except Auction market &amp; Retail Debt Market and includes series EQ, BE,BT, BL and IL.</t>
  </si>
  <si>
    <t>Year /  Month</t>
  </si>
  <si>
    <t>Traded Quantity   (Lakh)</t>
  </si>
  <si>
    <t>Delivered Quantity   (Lakh)</t>
  </si>
  <si>
    <t>Percent of Delivered Quantity to Traded Quantity</t>
  </si>
  <si>
    <t>Delivered Value   (` crore)</t>
  </si>
  <si>
    <t>Percent  of Delivered Value to Total Turnover</t>
  </si>
  <si>
    <t>Delivered Quantity in Demat Mode (Lakh)</t>
  </si>
  <si>
    <t>Percent of Demat Delivered Quantity to Total Delivered Quantity</t>
  </si>
  <si>
    <t>Delivered Value in Demat Mode     (` crore)</t>
  </si>
  <si>
    <t>Percent of Demat Delivered Value to Total Delivered Value</t>
  </si>
  <si>
    <t>Short Delivery (Auctioned quantity) (Lakh)</t>
  </si>
  <si>
    <t>Percent of Short Delivery to Delivery Quantity</t>
  </si>
  <si>
    <t>Funds Pay-in (` crore)</t>
  </si>
  <si>
    <t>Securities Pay-in (` crore)</t>
  </si>
  <si>
    <t>Settlement Guarantee Fund (`crore)</t>
  </si>
  <si>
    <t>Delivered Value      (` crore)</t>
  </si>
  <si>
    <t>Settlement Statistics for settlement type N, excluding CM Series IL &amp; BL</t>
  </si>
  <si>
    <t>Delivered Value      (₹ crore)</t>
  </si>
  <si>
    <t>Funds Pay-in (₹ crore)</t>
  </si>
  <si>
    <t>Securities Pay-in (₹ crore)</t>
  </si>
  <si>
    <t>Settlement Guarantee Fund(₹ crore)</t>
  </si>
  <si>
    <t>Year/     Month</t>
  </si>
  <si>
    <t>Index Futures</t>
  </si>
  <si>
    <t>Stock Futures</t>
  </si>
  <si>
    <t>Index Options</t>
  </si>
  <si>
    <t>Stock Options</t>
  </si>
  <si>
    <t>Open Interest at the end of Month</t>
  </si>
  <si>
    <t>Call</t>
  </si>
  <si>
    <t>Put</t>
  </si>
  <si>
    <t>No. of
Contracts</t>
  </si>
  <si>
    <t>Turnover
(` crore)</t>
  </si>
  <si>
    <t>No. of
contracts</t>
  </si>
  <si>
    <t>Note: 1. Notional Turnover = (Strike Price + Premium) * Quantity.</t>
  </si>
  <si>
    <t>Index/Stock
Futures</t>
  </si>
  <si>
    <t>Index/Stock
Options</t>
  </si>
  <si>
    <t>Settlement
Gurantee
Fund</t>
  </si>
  <si>
    <t>MTM
Settlement</t>
  </si>
  <si>
    <t>Final
Settlement</t>
  </si>
  <si>
    <t>Premium
Settlement</t>
  </si>
  <si>
    <t>Exercise
Settlement</t>
  </si>
  <si>
    <t>Percentage Share in Open Interest</t>
  </si>
  <si>
    <t>Pro</t>
  </si>
  <si>
    <t>FPI</t>
  </si>
  <si>
    <t>Turnover (in Percentage)</t>
  </si>
  <si>
    <t>BSE 30 SENSEX</t>
  </si>
  <si>
    <t>BSE SENSEX 50</t>
  </si>
  <si>
    <t>BSE BANKEX</t>
  </si>
  <si>
    <t>BSE OIL &amp; GAS INDEX</t>
  </si>
  <si>
    <t>BSE TECK INDEX</t>
  </si>
  <si>
    <t>BSE100</t>
  </si>
  <si>
    <t>HANG SENG Index Futures</t>
  </si>
  <si>
    <t>MICEX Index Futures</t>
  </si>
  <si>
    <t>FTSE/JSE Top 40 Futures</t>
  </si>
  <si>
    <t>IBOVESPA Futures</t>
  </si>
  <si>
    <t>NIFTY</t>
  </si>
  <si>
    <t>NIFTYIT</t>
  </si>
  <si>
    <t>BANKNIFTY</t>
  </si>
  <si>
    <t>NIFTYMID50</t>
  </si>
  <si>
    <t>NIFTYPSE</t>
  </si>
  <si>
    <t>NIFTYINFRA</t>
  </si>
  <si>
    <t>FTSE100</t>
  </si>
  <si>
    <t>S&amp;P500</t>
  </si>
  <si>
    <t>DJIA</t>
  </si>
  <si>
    <t>India VIX</t>
  </si>
  <si>
    <t>NIFTYCPSE</t>
  </si>
  <si>
    <t>Currency Futures</t>
  </si>
  <si>
    <t>Currency  Options</t>
  </si>
  <si>
    <t>Open Interest at the end of  the Month</t>
  </si>
  <si>
    <t>No. of Contracts</t>
  </si>
  <si>
    <t xml:space="preserve">No. of Contracts </t>
  </si>
  <si>
    <t>Value 
(` crore)</t>
  </si>
  <si>
    <t>Source: BSE</t>
  </si>
  <si>
    <t>No. of Trading  Days</t>
  </si>
  <si>
    <t>Currency Options</t>
  </si>
  <si>
    <t>Open Interest at the
end of Month</t>
  </si>
  <si>
    <t>Value
(` crore)</t>
  </si>
  <si>
    <t>Notes: 1. Trading Value :- For Futures, Value of contract = Traded Qty*Traded Price. 2. For Options, Value of contract = Traded Qty*(Strike Price+Traded Premium)</t>
  </si>
  <si>
    <t>Currency
Futures</t>
  </si>
  <si>
    <t>Open Interest as on last day of the month (in lots)</t>
  </si>
  <si>
    <t>USDINR</t>
  </si>
  <si>
    <t>EURINR</t>
  </si>
  <si>
    <t>GBPINR</t>
  </si>
  <si>
    <t>JPYINR</t>
  </si>
  <si>
    <t>EURUSD</t>
  </si>
  <si>
    <t>GBPUSD</t>
  </si>
  <si>
    <t>USDJPY</t>
  </si>
  <si>
    <t>1. USDINR includes Futures and options both other currencys have only futures till February 26, 2018.</t>
  </si>
  <si>
    <t>2. All Products include both Futures &amp; options from February 27, 2018 onwards.</t>
  </si>
  <si>
    <t>3. EURUSD, GBPUSD, USDJPY wer launched in Feb 2018</t>
  </si>
  <si>
    <t>Turnover ( ` crore)</t>
  </si>
  <si>
    <t>Open Interest as on last day of the month ( in lots)</t>
  </si>
  <si>
    <t>1. Cross Currency was introduced wef Feb 27, 2018</t>
  </si>
  <si>
    <t>2. Options contracts on EURINR,GBPINR,JPYINR were introduced wef Feb 27, 2018</t>
  </si>
  <si>
    <t>Open Interest as on last day of the month
(in lots)</t>
  </si>
  <si>
    <t>Data includes Notional Value for Options</t>
  </si>
  <si>
    <t>Excludes data of Interest Rate Futures</t>
  </si>
  <si>
    <t>1 Month</t>
  </si>
  <si>
    <t>2 Month</t>
  </si>
  <si>
    <t>3 Month</t>
  </si>
  <si>
    <t>&gt; 3 Months</t>
  </si>
  <si>
    <t>Currency Future</t>
  </si>
  <si>
    <t xml:space="preserve">2 Month   </t>
  </si>
  <si>
    <t>Interest Rate Futures</t>
  </si>
  <si>
    <t>Open Interest at
the end of</t>
  </si>
  <si>
    <t>Interest RateFutures</t>
  </si>
  <si>
    <t xml:space="preserve">Open Interest at the end of </t>
  </si>
  <si>
    <t>Traded Value 
(` crore)</t>
  </si>
  <si>
    <t>Source: BSE, NSE and MSEI</t>
  </si>
  <si>
    <t>Physical Delivery Settlement</t>
  </si>
  <si>
    <t>MTM Settlement</t>
  </si>
  <si>
    <t>Source: NSE, BSE and MSEI</t>
  </si>
  <si>
    <t>Gross Purchase (` crore)</t>
  </si>
  <si>
    <t>Gross Sales (` crores)</t>
  </si>
  <si>
    <t>Net Investment (` crores)</t>
  </si>
  <si>
    <t>Net Investment (US' $ mn.)</t>
  </si>
  <si>
    <t>Cumulative Net Investment (US $ mn.)</t>
  </si>
  <si>
    <t>Source: NSDL, CDSL</t>
  </si>
  <si>
    <t xml:space="preserve">Notional value of ODIs on Equity, Debt &amp; Derivatives </t>
  </si>
  <si>
    <t xml:space="preserve">Notional value of ODIs on Equity &amp; Debt  excluding Derivatives </t>
  </si>
  <si>
    <t>Assets Under Custody of FPIs/Deemed FPIs</t>
  </si>
  <si>
    <t>Notional value of ODIs on Equity, Debt &amp; Derivatives as % of  Assets Under Custody of FPIs/Deemed FPIs</t>
  </si>
  <si>
    <t>Notional value of ODIs on Equity &amp; Debt  excluding Derivatives as % of  Assets Under Custody of FPIs/Deemed FPIs</t>
  </si>
  <si>
    <t>Notes: 1. Figures are compiled based on reports submitted by FPIs/deemed FPIs issuing ODIs. 2. Column 4 Figures are compiled on the basis of reports submitted by custodians &amp; does not includes positions taken by FPIs/deemed FPIs in derivatives. 3. The total value of ODIs excludes the unhedged positions &amp; portfolio hedging positions taken by the FPIs/deemed FPIs issuing ODIs.</t>
  </si>
  <si>
    <t>Type of Client</t>
  </si>
  <si>
    <t xml:space="preserve">FPIs </t>
  </si>
  <si>
    <t>Foreign
Depositories</t>
  </si>
  <si>
    <t>FDI
Investments</t>
  </si>
  <si>
    <t>Foreign
Venture
Capital
Investments</t>
  </si>
  <si>
    <t>OCBs</t>
  </si>
  <si>
    <t>NRIs</t>
  </si>
  <si>
    <t>Mutual
Funds</t>
  </si>
  <si>
    <t>Corporates</t>
  </si>
  <si>
    <t>Insurance
Companies</t>
  </si>
  <si>
    <t>Local
Pension
Funds</t>
  </si>
  <si>
    <t>Financial
Institutions</t>
  </si>
  <si>
    <t>No.</t>
  </si>
  <si>
    <t xml:space="preserve">Notes: 1. With the commencement of FPI Regime from June 1, 2014, the erstwhile FIIs, Sub Accounts and QFIs are merged into a new investor class termed as .Foreign Portfolio Investors (FPIs).. </t>
  </si>
  <si>
    <t>2. "Others" include Portfolio manager, partnership firm, trusts, depository receipts, AIFs, FCCB, HUFs, Brokers etc.</t>
  </si>
  <si>
    <t>Source: Custodians.</t>
  </si>
  <si>
    <t>Gross Mobilisation</t>
  </si>
  <si>
    <t>Redemption</t>
  </si>
  <si>
    <t>Net Inflow/ Outflow</t>
  </si>
  <si>
    <t>Assets at the
End of
Period</t>
  </si>
  <si>
    <t>Pvt. Sector</t>
  </si>
  <si>
    <t>Public Sector</t>
  </si>
  <si>
    <t>Year/  Month</t>
  </si>
  <si>
    <t>Gross Purchases</t>
  </si>
  <si>
    <t>Gross Sales</t>
  </si>
  <si>
    <t>Net Purchases /Sales</t>
  </si>
  <si>
    <t>Net purchases /Sale</t>
  </si>
  <si>
    <t>Particulars</t>
  </si>
  <si>
    <t>Discretionary</t>
  </si>
  <si>
    <t>Non-Discretionary</t>
  </si>
  <si>
    <t>Advisory</t>
  </si>
  <si>
    <t>No. of Clients</t>
  </si>
  <si>
    <t>AUM (` crore)</t>
  </si>
  <si>
    <t>Listed Equity</t>
  </si>
  <si>
    <t>Unlisted Equity</t>
  </si>
  <si>
    <t>Plain Debt</t>
  </si>
  <si>
    <t>Structured Debt</t>
  </si>
  <si>
    <t>Equity Derivatives</t>
  </si>
  <si>
    <t>Parameter</t>
  </si>
  <si>
    <t>Unit</t>
  </si>
  <si>
    <t>NSDL</t>
  </si>
  <si>
    <t>CDSL</t>
  </si>
  <si>
    <t>Number of companies signed up to make their shares available for dematerialization</t>
  </si>
  <si>
    <t>Number</t>
  </si>
  <si>
    <t>Number of Depository Participants (registered)</t>
  </si>
  <si>
    <t>Number of Stock Exchanges (connected)</t>
  </si>
  <si>
    <t>Number of Investors Accounts</t>
  </si>
  <si>
    <t>Lakh</t>
  </si>
  <si>
    <t>Quantity of Shares dematerialized</t>
  </si>
  <si>
    <t>Crore</t>
  </si>
  <si>
    <t>Value of Shares dematerialized</t>
  </si>
  <si>
    <t>Quantity of Securities dematerialized #</t>
  </si>
  <si>
    <t>Value of Securities dematerialized #</t>
  </si>
  <si>
    <t>Quantity of shares settled during the month</t>
  </si>
  <si>
    <t>Average Quantity of shares settled daily (quantity of shares settled during the month (divided by 30))</t>
  </si>
  <si>
    <t>Value of shares settled during the month in dematerialized form</t>
  </si>
  <si>
    <t>Average Value of shares settled daily (value of shares settled during the month (divided by 30))</t>
  </si>
  <si>
    <t>Training Programmes conducted for representatives of Corporates, DPs and Brokers</t>
  </si>
  <si>
    <t>The ratio of dematerialized equity shares to the total outstanding shares market value</t>
  </si>
  <si>
    <t>Percent</t>
  </si>
  <si>
    <t>The ratio of dematerialized equity shares to the total outstanding shares (market value)</t>
  </si>
  <si>
    <t>Notes: 1. Shares includes only equity shares. 2. Securities include common equity shares, preference shares, debenture, MF units, etc. 3. No. of days taken for calculating Daily Average is 30 days instead of Actual settlement days. 4. Quantity and value of shares mentioned are single sided. 5. #Source for listed securities information: Issuer/ NSE/BSE.</t>
  </si>
  <si>
    <t>Source: NSDL and CDSL.</t>
  </si>
  <si>
    <t>Companies Live</t>
  </si>
  <si>
    <t>DPs Live</t>
  </si>
  <si>
    <t>DPs
Locations</t>
  </si>
  <si>
    <t>Demat 
Quantity 
(million securities)</t>
  </si>
  <si>
    <t>Demat Value (` crore)</t>
  </si>
  <si>
    <t>Demat Value  (` crore)</t>
  </si>
  <si>
    <t>Notes : 1. For CDSL, the current and historical data of Companies Live has been revised to exclude MF schemes count. 2. The Companies Live figure  includes only the number of mutual fund companies and not the mutual fund schemes. 3. DPs Locations represents the total live (main DPs and branch DPs as well as non-live (back office connected collection centres).</t>
  </si>
  <si>
    <t>* Includes Nine Participants which are under closure/termination process and SEBI registration is not yet cancelled/suspended</t>
  </si>
  <si>
    <t>Unlisted</t>
  </si>
  <si>
    <t>No.of issuers debt/Companies(equity)</t>
  </si>
  <si>
    <t>(numbers)</t>
  </si>
  <si>
    <t>No.of Active Instruments</t>
  </si>
  <si>
    <t>Demat Quantity</t>
  </si>
  <si>
    <t>(lakhs)</t>
  </si>
  <si>
    <t>Demat Value</t>
  </si>
  <si>
    <t>(Rs.Crore)</t>
  </si>
  <si>
    <t>Quantity settled during the month</t>
  </si>
  <si>
    <t>(Lakh)</t>
  </si>
  <si>
    <t>Value Settled during the month</t>
  </si>
  <si>
    <t>(Rs.Crores)</t>
  </si>
  <si>
    <t>No. of Issuers (Debt) / Companies (Equity)</t>
  </si>
  <si>
    <t>No. of Active Instruments</t>
  </si>
  <si>
    <t>(lakh)</t>
  </si>
  <si>
    <t>(Rs.crore)</t>
  </si>
  <si>
    <t xml:space="preserve">Note: The categories included in Others are Preference Shares, Mutual Fund Units, Warrants, PTCs, Treasury Bills, CPs, CDs and Government Securities. </t>
  </si>
  <si>
    <t>Cash Reserve Ratio (percent)</t>
  </si>
  <si>
    <t>Repo Rate (percent)</t>
  </si>
  <si>
    <t>Call Money Rate (Weighted Average)</t>
  </si>
  <si>
    <t>91-Day-Treasury Bill (Primary Yield)</t>
  </si>
  <si>
    <t>Base rate (percent)</t>
  </si>
  <si>
    <t>8.95/9.45</t>
  </si>
  <si>
    <t>8.95/9.40</t>
  </si>
  <si>
    <t xml:space="preserve">Term Deposit Rate &gt; 1 year (Maximum) </t>
  </si>
  <si>
    <t>6.25/7.50</t>
  </si>
  <si>
    <t xml:space="preserve">Market Cap-BSE </t>
  </si>
  <si>
    <t xml:space="preserve">Market Cap-NSE </t>
  </si>
  <si>
    <t xml:space="preserve">Net FPI Investment in Equity </t>
  </si>
  <si>
    <t>VII. Exchange Rate and Reserves</t>
  </si>
  <si>
    <t>Forex Reserves (USD million)</t>
  </si>
  <si>
    <t>Re/ Dollar</t>
  </si>
  <si>
    <t>Re/Euro</t>
  </si>
  <si>
    <t>Forward Premia of USD  6-month</t>
  </si>
  <si>
    <t>VIII.  Public Borrowing and Inflation</t>
  </si>
  <si>
    <t>Wholesale Price Index (2011-12=100)</t>
  </si>
  <si>
    <t>NA</t>
  </si>
  <si>
    <t>Consumer Price Index (2012 =100)</t>
  </si>
  <si>
    <t>IX.  Index of Industrial Production (y-o-y) percent (Base year 2011-12 = 100)</t>
  </si>
  <si>
    <t>General</t>
  </si>
  <si>
    <t>Mining</t>
  </si>
  <si>
    <t>Manufacturing</t>
  </si>
  <si>
    <t>Electricity</t>
  </si>
  <si>
    <t>X. External Sector Indicators (USD million)</t>
  </si>
  <si>
    <t xml:space="preserve">Exports </t>
  </si>
  <si>
    <t>Imports</t>
  </si>
  <si>
    <t>Trade Balance</t>
  </si>
  <si>
    <t>! First revised estimates of national income, consumption expenditure, saving and capital formation for 2017-18 dated, 31.01.2019</t>
  </si>
  <si>
    <t xml:space="preserve">^ cumulative figure value of the respective month for 2018-19 </t>
  </si>
  <si>
    <t>Aggregate Deposit, Bank Credit, Money Supply (M3) and Forex Reserve are updated as per available information on WSS dated 03 May 2019</t>
  </si>
  <si>
    <t>Data for CPI, WPI, IIP and External sector have been complied based on available information.</t>
  </si>
  <si>
    <t>Source :  RBI, FBIL,  MOSPI,  Ministry of Commerce &amp; Industry, Office of the Economic Adviser.</t>
  </si>
  <si>
    <t>SME IPO</t>
  </si>
  <si>
    <t>Real Estate Investment Trust (REIT)</t>
  </si>
  <si>
    <t>II. Gross Saving as a percent of Gross national Disposable Income at current market prices in 2017-18!</t>
  </si>
  <si>
    <t>III. Gross Capital Formation as a per cent of GDP at current market prices in 2017-18!</t>
  </si>
  <si>
    <t xml:space="preserve">IV.  Monetary and Banking Indicators                  </t>
  </si>
  <si>
    <t>T_5</t>
  </si>
  <si>
    <t>https://rbi.org.in/Scripts/BS_ViewWss.aspx</t>
  </si>
  <si>
    <r>
      <t>Money Supply (M3)  (</t>
    </r>
    <r>
      <rPr>
        <sz val="11"/>
        <rFont val="Rupee Foradian"/>
        <family val="2"/>
      </rPr>
      <t xml:space="preserve">₹ </t>
    </r>
    <r>
      <rPr>
        <sz val="11"/>
        <rFont val="Garamond"/>
        <family val="1"/>
      </rPr>
      <t>crore)</t>
    </r>
  </si>
  <si>
    <t>T_6</t>
  </si>
  <si>
    <r>
      <t>Aggregate Deposit (</t>
    </r>
    <r>
      <rPr>
        <sz val="11"/>
        <color theme="1"/>
        <rFont val="Rupee Foradian"/>
        <family val="2"/>
      </rPr>
      <t>₹</t>
    </r>
    <r>
      <rPr>
        <sz val="11"/>
        <color theme="1"/>
        <rFont val="Garamond"/>
        <family val="1"/>
      </rPr>
      <t xml:space="preserve"> crore)</t>
    </r>
  </si>
  <si>
    <t>T_4</t>
  </si>
  <si>
    <r>
      <t>Bank Credit (</t>
    </r>
    <r>
      <rPr>
        <sz val="11"/>
        <color theme="1"/>
        <rFont val="Rupee Foradian"/>
        <family val="2"/>
      </rPr>
      <t>₹</t>
    </r>
    <r>
      <rPr>
        <sz val="11"/>
        <color theme="1"/>
        <rFont val="Garamond"/>
        <family val="1"/>
      </rPr>
      <t xml:space="preserve"> crore)</t>
    </r>
  </si>
  <si>
    <t xml:space="preserve">V. Interest Rate                        </t>
  </si>
  <si>
    <r>
      <t>VI. Capital Market Indicators (</t>
    </r>
    <r>
      <rPr>
        <sz val="11"/>
        <color theme="1"/>
        <rFont val="Rupee Foradian"/>
        <family val="2"/>
      </rPr>
      <t>₹</t>
    </r>
    <r>
      <rPr>
        <b/>
        <sz val="11"/>
        <color theme="1"/>
        <rFont val="Garamond"/>
        <family val="1"/>
      </rPr>
      <t>crore)</t>
    </r>
  </si>
  <si>
    <t xml:space="preserve">Equity Cash Turnover (BSE+NSE) </t>
  </si>
  <si>
    <r>
      <t>bse from bse file (</t>
    </r>
    <r>
      <rPr>
        <b/>
        <sz val="10"/>
        <color theme="1"/>
        <rFont val="Arial"/>
        <family val="2"/>
      </rPr>
      <t>BSE_C_TRD_STAT_TABLE17_</t>
    </r>
    <r>
      <rPr>
        <sz val="10"/>
        <color theme="1"/>
        <rFont val="Arial"/>
        <family val="2"/>
      </rPr>
      <t xml:space="preserve">DDMMYYYY, col H and M respectivly) and nse from website </t>
    </r>
  </si>
  <si>
    <t>https://www.nseindia.com/products/content/equities/equities/historical_equity_businessgrowth.htm</t>
  </si>
  <si>
    <t>https://www.fpi.nsdl.co.in/web/Reports/Archive.aspx</t>
  </si>
  <si>
    <t>T_2</t>
  </si>
  <si>
    <t>Govt. Market Borrowing-Gross (₹ Billion) 2018-19^</t>
  </si>
  <si>
    <t>https://eaindustry.nic.in/home.asp</t>
  </si>
  <si>
    <t>http://mospi.nic.in/press-release</t>
  </si>
  <si>
    <t>http://commerce.gov.in/InnerContent.aspx?Type=TradeStatisticsmenu&amp;Id=254</t>
  </si>
  <si>
    <t>Sr. No.</t>
  </si>
  <si>
    <t>Scheme Category</t>
  </si>
  <si>
    <t>A</t>
  </si>
  <si>
    <t>Open ended Schemes</t>
  </si>
  <si>
    <t>I</t>
  </si>
  <si>
    <t>Income/Debt Oriented Schemes</t>
  </si>
  <si>
    <t>Overnight Fund</t>
  </si>
  <si>
    <t>Liquid Fund</t>
  </si>
  <si>
    <t>Ultra Short Duration Fund</t>
  </si>
  <si>
    <t>Low Duration Fund</t>
  </si>
  <si>
    <t>Money Market Fund</t>
  </si>
  <si>
    <t>Short Duration Fund</t>
  </si>
  <si>
    <t>Medium Duration Fund</t>
  </si>
  <si>
    <t>Medium to Long Duration Fund</t>
  </si>
  <si>
    <t>Long Duration Fund</t>
  </si>
  <si>
    <t>Dynamic Bond Fund</t>
  </si>
  <si>
    <t>Corporate Bond Fund</t>
  </si>
  <si>
    <t>Credit Risk Fund</t>
  </si>
  <si>
    <t>Banking and PSU Fund</t>
  </si>
  <si>
    <t>Gilt Fund</t>
  </si>
  <si>
    <t>Gilt Fund with 10 year constant duration</t>
  </si>
  <si>
    <t>Floater Fund</t>
  </si>
  <si>
    <t>Sub total - I (1+2+3+4+5+6+7+8+9+10+11+12+13+14+15+16)</t>
  </si>
  <si>
    <t>II</t>
  </si>
  <si>
    <t>Growth/Equity Oriented Schemes</t>
  </si>
  <si>
    <t>Multi Cap Fund</t>
  </si>
  <si>
    <t>Large Cap Fund</t>
  </si>
  <si>
    <t>Large &amp; Mid Cap Fund</t>
  </si>
  <si>
    <t>Mid Cap Fund</t>
  </si>
  <si>
    <t>Small Cap Fund</t>
  </si>
  <si>
    <t>Dividend Yield Fund</t>
  </si>
  <si>
    <t>Value Fund/Contra Fund</t>
  </si>
  <si>
    <t>Focused Fund</t>
  </si>
  <si>
    <t>Sectoral/Thematic Funds</t>
  </si>
  <si>
    <t>ELSS</t>
  </si>
  <si>
    <t>Sub total - II (17+18+19+20+21+22+23+24+25+26)</t>
  </si>
  <si>
    <t>III</t>
  </si>
  <si>
    <t>Hybrid Schemes</t>
  </si>
  <si>
    <t>Conservative Hybrid Fund</t>
  </si>
  <si>
    <t>Balanced Hybrid Fund/Aggressive Hybrid Fund</t>
  </si>
  <si>
    <t>Dynamic Asset Allocation/Balanced Advantage</t>
  </si>
  <si>
    <t>Multi Asset Allocation</t>
  </si>
  <si>
    <t>Arbitrage Fund</t>
  </si>
  <si>
    <t>Equity Savings Fund</t>
  </si>
  <si>
    <t>Sub total - III (27+28+29+30+31+32)</t>
  </si>
  <si>
    <t>IV</t>
  </si>
  <si>
    <t>Solution Oriented  Schemes</t>
  </si>
  <si>
    <t>Retirement Fund</t>
  </si>
  <si>
    <t>Childrens' Fund</t>
  </si>
  <si>
    <t>Sub total - IV (33+34)</t>
  </si>
  <si>
    <t>V</t>
  </si>
  <si>
    <t>Other Schemes</t>
  </si>
  <si>
    <t>Index Funds</t>
  </si>
  <si>
    <t>GOLD ETFs</t>
  </si>
  <si>
    <t>Other ETFs</t>
  </si>
  <si>
    <t>Fund of funds investing overseas</t>
  </si>
  <si>
    <t>Sub total - V (35+36+37+38)</t>
  </si>
  <si>
    <t>Total A-Open ended Schemes</t>
  </si>
  <si>
    <t>B</t>
  </si>
  <si>
    <t>Close  Ended Schemes</t>
  </si>
  <si>
    <t>i</t>
  </si>
  <si>
    <t>Fixed Term Plan</t>
  </si>
  <si>
    <t>ii</t>
  </si>
  <si>
    <t>Capital Protection Oriented  Schemes</t>
  </si>
  <si>
    <t>iii</t>
  </si>
  <si>
    <t xml:space="preserve">Infrastructure Debt Fund </t>
  </si>
  <si>
    <t>iv</t>
  </si>
  <si>
    <t>Other Debt</t>
  </si>
  <si>
    <t>Sub total (i+ii+iii+iv)</t>
  </si>
  <si>
    <t>Sub total (i+ii)</t>
  </si>
  <si>
    <t>Total B -Close ended Schemes</t>
  </si>
  <si>
    <t>C</t>
  </si>
  <si>
    <t>Interval Schemes</t>
  </si>
  <si>
    <t>Total C -Interval Schemes</t>
  </si>
  <si>
    <t>Fund of Funds Scheme (Domestic)</t>
  </si>
  <si>
    <t>2. During the month only 57 members were permitted to trade.</t>
  </si>
  <si>
    <t>Exchanges</t>
  </si>
  <si>
    <t>Futures</t>
  </si>
  <si>
    <t>Options</t>
  </si>
  <si>
    <t>Agriculture</t>
  </si>
  <si>
    <t>Metals other than bullion</t>
  </si>
  <si>
    <t xml:space="preserve">Bullion </t>
  </si>
  <si>
    <t xml:space="preserve">Energy </t>
  </si>
  <si>
    <t>Gems and Stones</t>
  </si>
  <si>
    <t>NCDEX</t>
  </si>
  <si>
    <t>Permitted for trading</t>
  </si>
  <si>
    <t xml:space="preserve">Contracts floated </t>
  </si>
  <si>
    <t>Traded</t>
  </si>
  <si>
    <t>MCX</t>
  </si>
  <si>
    <t>ICEX</t>
  </si>
  <si>
    <t xml:space="preserve"> </t>
  </si>
  <si>
    <t>Source: NCDEX, MCX, ICEX, BSE and NSE</t>
  </si>
  <si>
    <t>MCX Comdex</t>
  </si>
  <si>
    <t>NCDEX Dhaanya</t>
  </si>
  <si>
    <t>Open</t>
  </si>
  <si>
    <t>Source: MCX and NCDEX</t>
  </si>
  <si>
    <t>FUTURES</t>
  </si>
  <si>
    <t>No.of Trading days</t>
  </si>
  <si>
    <t>Metals</t>
  </si>
  <si>
    <t>Bullion</t>
  </si>
  <si>
    <t>Energy</t>
  </si>
  <si>
    <t>Open interest at the end of the period</t>
  </si>
  <si>
    <t>Volume ('000 tonnes)</t>
  </si>
  <si>
    <t>No. of contracts traded</t>
  </si>
  <si>
    <t>Volume ('000 tonnes)*</t>
  </si>
  <si>
    <t>No. of contracts</t>
  </si>
  <si>
    <t>OPTIONS</t>
  </si>
  <si>
    <t>Year / 
Month</t>
  </si>
  <si>
    <t xml:space="preserve">Call Options </t>
  </si>
  <si>
    <t xml:space="preserve">Put Options </t>
  </si>
  <si>
    <t>Note : Natural Gas volume is in Trillion BTU and is not included in volume ('000 tonnes) of energy contracts.</t>
  </si>
  <si>
    <t>Source: MCX</t>
  </si>
  <si>
    <t xml:space="preserve">following is not for publications (verifications): </t>
  </si>
  <si>
    <t>annual total of TO</t>
  </si>
  <si>
    <t>Agir</t>
  </si>
  <si>
    <t>non-agri</t>
  </si>
  <si>
    <t>futures</t>
  </si>
  <si>
    <t>options</t>
  </si>
  <si>
    <t>total</t>
  </si>
  <si>
    <t>match</t>
  </si>
  <si>
    <t>Monthly totals of TO</t>
  </si>
  <si>
    <t>Volume
('000 tonnes)</t>
  </si>
  <si>
    <t xml:space="preserve">Call options </t>
  </si>
  <si>
    <t xml:space="preserve">Put options </t>
  </si>
  <si>
    <t>Open interest 
  at the end of the period</t>
  </si>
  <si>
    <t>Source: NCDEX</t>
  </si>
  <si>
    <t>Agriculture Futures</t>
  </si>
  <si>
    <t>Metals Futures</t>
  </si>
  <si>
    <t>Gems and Stones Futures</t>
  </si>
  <si>
    <t xml:space="preserve">Total </t>
  </si>
  <si>
    <t>Volume 
('000 tonnes)</t>
  </si>
  <si>
    <t>Volume 
(in cents)</t>
  </si>
  <si>
    <t xml:space="preserve">No. of contracts </t>
  </si>
  <si>
    <t>Source: ICEX</t>
  </si>
  <si>
    <t>Metal Futures</t>
  </si>
  <si>
    <t>Bullion Futures</t>
  </si>
  <si>
    <t>Energy Futures</t>
  </si>
  <si>
    <t>Volume ( tonnes)</t>
  </si>
  <si>
    <t>Volume 
( tonnes)</t>
  </si>
  <si>
    <t>Volume (Tonnes)</t>
  </si>
  <si>
    <t>Volume
 ( tonnes)</t>
  </si>
  <si>
    <t>Conversion factors: OMAN  Crude Oil (1 Tonne = 7.33Barrels)</t>
  </si>
  <si>
    <t>Volume for BR Crude and BR Crude Mini is provided in barrels (absolute figure).</t>
  </si>
  <si>
    <t xml:space="preserve">Agriculture </t>
  </si>
  <si>
    <t>Non-Agriculture Segment</t>
  </si>
  <si>
    <t>Non-Agriculture</t>
  </si>
  <si>
    <t xml:space="preserve">Client </t>
  </si>
  <si>
    <t>Hedgers</t>
  </si>
  <si>
    <t xml:space="preserve">Conserquent to merger of NMCE with ICEX w.e.f. September 24, 2018, data pertaiing to NMCE are merged with ICEX </t>
  </si>
  <si>
    <t>Source: MCX, NCDEX, ICEX, BSE and NSE</t>
  </si>
  <si>
    <t>Sr.No</t>
  </si>
  <si>
    <t>Name of the Commodity</t>
  </si>
  <si>
    <t>Gold</t>
  </si>
  <si>
    <t>Silver</t>
  </si>
  <si>
    <t>Total for A</t>
  </si>
  <si>
    <t>Metals other than Bullion</t>
  </si>
  <si>
    <t>Aluminium</t>
  </si>
  <si>
    <t>Brass</t>
  </si>
  <si>
    <t>Copper</t>
  </si>
  <si>
    <t>Lead</t>
  </si>
  <si>
    <t>Nickel</t>
  </si>
  <si>
    <t>Zinc</t>
  </si>
  <si>
    <t>Total for  B</t>
  </si>
  <si>
    <t>Agricultural commodities</t>
  </si>
  <si>
    <t>Cardamom</t>
  </si>
  <si>
    <t>Cotton</t>
  </si>
  <si>
    <t>CPO</t>
  </si>
  <si>
    <t>Mentha Oil</t>
  </si>
  <si>
    <t>Total for C</t>
  </si>
  <si>
    <t>D</t>
  </si>
  <si>
    <t>Crude Oil</t>
  </si>
  <si>
    <t>Natural Gas (trln. Btu)</t>
  </si>
  <si>
    <t>Total for D*</t>
  </si>
  <si>
    <t>Grand Total (A+B+C+D)</t>
  </si>
  <si>
    <t>E</t>
  </si>
  <si>
    <t>Total  of E</t>
  </si>
  <si>
    <t>F</t>
  </si>
  <si>
    <t xml:space="preserve">Metals </t>
  </si>
  <si>
    <t>Total of F</t>
  </si>
  <si>
    <t>G</t>
  </si>
  <si>
    <t>Grand Total (E+F+G)</t>
  </si>
  <si>
    <t>Note : Natural Gas volume is in trillion BTU and is not included in total volume.</t>
  </si>
  <si>
    <t xml:space="preserve">            Turnover of options contract is notional value. </t>
  </si>
  <si>
    <t xml:space="preserve">           Conversion factors: Cotton (1 Bale=170 kg), Crude Oil (1 Tonne = 7.33Barrels)</t>
  </si>
  <si>
    <t>Source : MCX</t>
  </si>
  <si>
    <t xml:space="preserve">Name of Agri. Commodity </t>
  </si>
  <si>
    <t>Value 
( crore)</t>
  </si>
  <si>
    <t>Barley</t>
  </si>
  <si>
    <t>Castorseed</t>
  </si>
  <si>
    <t>Chana</t>
  </si>
  <si>
    <t>Cotton seed oil cake</t>
  </si>
  <si>
    <t>Coriander</t>
  </si>
  <si>
    <t>Guar seed</t>
  </si>
  <si>
    <t>Guargum</t>
  </si>
  <si>
    <t>Jeera</t>
  </si>
  <si>
    <t>Kapas</t>
  </si>
  <si>
    <t>Maize</t>
  </si>
  <si>
    <t>Rmseed</t>
  </si>
  <si>
    <t>Sugar</t>
  </si>
  <si>
    <t>Soya bean</t>
  </si>
  <si>
    <t>Soya oil</t>
  </si>
  <si>
    <t>Turmeric</t>
  </si>
  <si>
    <t>Wheat</t>
  </si>
  <si>
    <t>Guarseed</t>
  </si>
  <si>
    <t>Soybean</t>
  </si>
  <si>
    <t>Ref. Soy Oil</t>
  </si>
  <si>
    <t xml:space="preserve"> Turnover of options contract is notional value. </t>
  </si>
  <si>
    <t>A.</t>
  </si>
  <si>
    <t xml:space="preserve">Castorseed </t>
  </si>
  <si>
    <t xml:space="preserve">Guarseed </t>
  </si>
  <si>
    <t xml:space="preserve">Isabgulseed </t>
  </si>
  <si>
    <t>Pepper Mini</t>
  </si>
  <si>
    <t xml:space="preserve">Rape/Mustardseed </t>
  </si>
  <si>
    <t xml:space="preserve">Raw Jute </t>
  </si>
  <si>
    <t xml:space="preserve">Rubber </t>
  </si>
  <si>
    <t>Diamond 1 CT</t>
  </si>
  <si>
    <t>Diamond .5 CT</t>
  </si>
  <si>
    <t>Diamond .3 CT</t>
  </si>
  <si>
    <t>Steel</t>
  </si>
  <si>
    <t>Total (ICEX)</t>
  </si>
  <si>
    <t>B.</t>
  </si>
  <si>
    <t>OMAN CRUDE *</t>
  </si>
  <si>
    <t>Gold M</t>
  </si>
  <si>
    <t>Guar Gum</t>
  </si>
  <si>
    <t>Guar Seed</t>
  </si>
  <si>
    <t>Total (BSE)</t>
  </si>
  <si>
    <t>C.</t>
  </si>
  <si>
    <t>Total (NSE)</t>
  </si>
  <si>
    <t>Gold Mini</t>
  </si>
  <si>
    <t>BR Crude</t>
  </si>
  <si>
    <t>BR Crude Mini</t>
  </si>
  <si>
    <t>Source : ICEX, BSE and NSE</t>
  </si>
  <si>
    <t>$ indicatesas on May 31, 2019</t>
  </si>
  <si>
    <t>$ indicates as on May 31, 2019</t>
  </si>
  <si>
    <t>Bharti Airtel Limited</t>
  </si>
  <si>
    <t>Cian Healthcare Limited</t>
  </si>
  <si>
    <t>White Organic Retail Limited</t>
  </si>
  <si>
    <t>Artemis Electricals Limited</t>
  </si>
  <si>
    <t>Evans Electric Limited</t>
  </si>
  <si>
    <t>Genus Prime Infra Limited</t>
  </si>
  <si>
    <t>Par Drugs and Chemicals Limited</t>
  </si>
  <si>
    <t>Banking/FIs</t>
  </si>
  <si>
    <t>Cement and Construction</t>
  </si>
  <si>
    <t>Chemicals</t>
  </si>
  <si>
    <t>Oil and Natural Gas</t>
  </si>
  <si>
    <t>Roads and Highways</t>
  </si>
  <si>
    <t>Textiles</t>
  </si>
  <si>
    <t>Miscellaneous</t>
  </si>
  <si>
    <t> 0</t>
  </si>
  <si>
    <t>0 </t>
  </si>
  <si>
    <t xml:space="preserve">  ≥ 100 crore - &lt; 500 crore</t>
  </si>
  <si>
    <t>&gt;=500 crore</t>
  </si>
  <si>
    <t>Table 1:  SEBI Registered Market Intermediaries/Institutions</t>
  </si>
  <si>
    <t>Table 2:  Company-Wise Capital Raised through Public and Rights Issues (Equity) during May 2019</t>
  </si>
  <si>
    <t>Table 3:  Open Offers under SEBI Takeover Code during May 2019</t>
  </si>
  <si>
    <t>Table 4:  Substantial Acquisition of Shares and Takeovers</t>
  </si>
  <si>
    <t>Table 5:  Capital Raised from the Primary Market through though Public and Rights Issues (Equity)</t>
  </si>
  <si>
    <t>Table 6:  Issues Listed on SME Platform</t>
  </si>
  <si>
    <t>Table 7:  Industry-wise Classification of Capital Raised through Public and Rights Issues (Equity)</t>
  </si>
  <si>
    <t>Table 8:  Sector-wise and Region-wise Distribution of Capital Mobilised through Public and Rights Issues (Equity)</t>
  </si>
  <si>
    <t>Table 9:  Size-wise Classification of Capital Raised through Public and Rights Issues (Equity)</t>
  </si>
  <si>
    <t xml:space="preserve">Table 10:  Resource Mobilisation through QIP </t>
  </si>
  <si>
    <t>Table 11:  Resource Mobilisation through Preferential Allotments</t>
  </si>
  <si>
    <t>Table 12:  Capital Raised from the Primary Market through Corporate Bonds</t>
  </si>
  <si>
    <t>Table 13:  Resource Mobilisation through Private Placement of Corporate Debt</t>
  </si>
  <si>
    <t>Table 14:  Trading in the Corporate Debt Market (Reported Trades)</t>
  </si>
  <si>
    <t>Table 15:  Ratings Assigned for Long-term Corporate Debt Securities (Maturity = 1 year)</t>
  </si>
  <si>
    <t>Table 16:  Ratings Assigned for Long-term Corporate Debt Securities (Maturity = 1 year)</t>
  </si>
  <si>
    <t>Table 18:  Trends in Cash Segment of BSE</t>
  </si>
  <si>
    <t>Table 19:  Trends in Cash Segment of NSE</t>
  </si>
  <si>
    <t>Table 20:  Trends in Cash Segment of MSEI</t>
  </si>
  <si>
    <t>Table 21:  City-wise Distribution of Turnover on Cash Segments</t>
  </si>
  <si>
    <t>Table 22:  Category-wise Share of Turnover in Cash Segment of BSE</t>
  </si>
  <si>
    <t>Table 23:  Category-wise Share of Turnover in Cash Segment of NSE</t>
  </si>
  <si>
    <t>Table 24:  Category-wise Share of Turnover in Cash Segment of MSEI</t>
  </si>
  <si>
    <t>Table 25:  Component Stocks: S&amp;P BSE Sensex during May 2019</t>
  </si>
  <si>
    <t>Table 26:  Component Stocks: Nifty 50 Index during May 2019</t>
  </si>
  <si>
    <t>Table 27:  Component Stock: SX 40 Index during May 2019</t>
  </si>
  <si>
    <t>Table 28:  Advances/Declines in Cash Segment</t>
  </si>
  <si>
    <t>Table 29:  Trading Frequency in Cash Segment</t>
  </si>
  <si>
    <t xml:space="preserve">Table 30:  Daily Volatility of Major Indices </t>
  </si>
  <si>
    <t xml:space="preserve">Table 31:  Share of Top ‘N’ Securities/Members in Turnover of Cash Segment </t>
  </si>
  <si>
    <t>Table 32:  Settlement Statistics for Cash Segment of BSE</t>
  </si>
  <si>
    <t>Table 33:  Settlement Statistics for Cash Segment of NSE</t>
  </si>
  <si>
    <t>Table 34:  Settlement Statistics for Cash Segment of MSEI</t>
  </si>
  <si>
    <t xml:space="preserve">Table 35:  Trends in Equity Derivatives Segment at BSE </t>
  </si>
  <si>
    <t>Table 36:  Trends in Equity Derivatives Segment at NSE</t>
  </si>
  <si>
    <t xml:space="preserve">Table 37:  Settlement Statistics in Equity Derivatives Segment at BSE and NSE </t>
  </si>
  <si>
    <t>Table 38:  Category-wise Share of Turnover &amp; Open Interest in Equity Derivative Segment of BSE</t>
  </si>
  <si>
    <t>Table 39:  Category-wise Share of Turnover &amp; Open Interest in Equity Derivative Segment of NSE</t>
  </si>
  <si>
    <t>Table 40:  Instrument-wise Turnover in Index Derivatives at BSE</t>
  </si>
  <si>
    <t>Table 41:  Instrument-wise Turnover in Index Derivatives at NSE</t>
  </si>
  <si>
    <t>Table 42:  Trends in Currency Derivatives Segment at BSE</t>
  </si>
  <si>
    <t>Table 43:  Trends in Currency Derivatives Segment at NSE</t>
  </si>
  <si>
    <t>Table 44:  Trends in Currency Derivatives Segment at MSEI</t>
  </si>
  <si>
    <t>Table 45:  Settlement Statistics of Currency Derivatives Segment</t>
  </si>
  <si>
    <t>Table 46:  Instrument-wise Turnover in Currency Derivative Segment of BSE</t>
  </si>
  <si>
    <t>Table 47:  Instrument-wise Turnover in Currency Derivatives of NSE</t>
  </si>
  <si>
    <t>Table 48:  Instrument-wise Turnover in Currency Derivative Segment of MSEI</t>
  </si>
  <si>
    <t xml:space="preserve">Table 49:  Maturity-wise Turnover in Currency Derivative Segment of BSE </t>
  </si>
  <si>
    <t>Table 50:  Maturity-wise Turnover in Currency Derivative Segment of NSE</t>
  </si>
  <si>
    <t>Table 51:  Maturity-wise Turnover in Currency Derivative Segment of MSEI</t>
  </si>
  <si>
    <t>Table 52:  Trading Statistics of Interest Rate Futures at BSE, NSE and MSEI</t>
  </si>
  <si>
    <t>Table 53:  Settlement Statistics in Interest Rate Futures at BSE, NSE and MSEI</t>
  </si>
  <si>
    <t>Table 54:  Trends in Foreign Portfolio Investment</t>
  </si>
  <si>
    <t>Table 55:  Notional Value of Offshore Derivative Instruments (ODIs) Vs Assets Under Custody (AUC) of FPIs/Deemed</t>
  </si>
  <si>
    <t>Table 56:  Assets under the Custody of Custodians</t>
  </si>
  <si>
    <t xml:space="preserve">Table 57:  Trends in Resource Mobilization by Mutual Funds </t>
  </si>
  <si>
    <t xml:space="preserve">Table 58:  Status of Mutual Funds Industry in India </t>
  </si>
  <si>
    <t>Table 59:  Trends in Transactions on Stock Exchanges by Mutual Funds</t>
  </si>
  <si>
    <t>Table 60:  Asset Under Management by Portfolio Manager</t>
  </si>
  <si>
    <t>Table 61:  Progress Report of NSDL &amp; CDSl as on end of Month (Listed Companies)</t>
  </si>
  <si>
    <t>Table 62:  Progress of Dematerialisation at NSDL and CDSL (Listed and Unlisted Companies)</t>
  </si>
  <si>
    <t>Table 63:  Depository Statistics</t>
  </si>
  <si>
    <t>Sl. No.</t>
  </si>
  <si>
    <t xml:space="preserve">PA Date </t>
  </si>
  <si>
    <t xml:space="preserve">Offer Size </t>
  </si>
  <si>
    <t>No. of Shares</t>
  </si>
  <si>
    <t>% of Equity Capital</t>
  </si>
  <si>
    <t>Justride Enterprises Limited</t>
  </si>
  <si>
    <t>Shubhal Goel</t>
  </si>
  <si>
    <t>Sangam Renewables Limited</t>
  </si>
  <si>
    <t>Waaree Energies Limited</t>
  </si>
  <si>
    <t>Ruchika Industries India Limited</t>
  </si>
  <si>
    <t>Mr. Rajiv Chandulal Darji</t>
  </si>
  <si>
    <t>Indo Rama Synthetics (I) Limited</t>
  </si>
  <si>
    <t>Indorams Netherlands</t>
  </si>
  <si>
    <t>Integra Telecommunication &amp; Software Ltd</t>
  </si>
  <si>
    <t>Micro Logistics (India) Pvt Ltd.</t>
  </si>
  <si>
    <t>Issued Capital     (` crore)</t>
  </si>
  <si>
    <t>Free Float Market Capitalisation (` crore)</t>
  </si>
  <si>
    <t xml:space="preserve">Impact Cost (Percent) </t>
  </si>
  <si>
    <t xml:space="preserve">HDFC        </t>
  </si>
  <si>
    <t xml:space="preserve">BAJFINANCE  </t>
  </si>
  <si>
    <t xml:space="preserve">STATE BANK  </t>
  </si>
  <si>
    <t xml:space="preserve">HDFC BANK   </t>
  </si>
  <si>
    <t xml:space="preserve">HEROMOTOCO  </t>
  </si>
  <si>
    <t xml:space="preserve">INFOSYS LTD </t>
  </si>
  <si>
    <t xml:space="preserve">VEDL        </t>
  </si>
  <si>
    <t xml:space="preserve">ONGC CORPN  </t>
  </si>
  <si>
    <t xml:space="preserve">RELIANCE    </t>
  </si>
  <si>
    <t xml:space="preserve">TATA STEEL  </t>
  </si>
  <si>
    <t xml:space="preserve">MAH &amp; MAH   </t>
  </si>
  <si>
    <t xml:space="preserve">TATA MOTORS </t>
  </si>
  <si>
    <t xml:space="preserve">HIND UNI LT </t>
  </si>
  <si>
    <t xml:space="preserve">ITC LTD.    </t>
  </si>
  <si>
    <t xml:space="preserve">SUN PHARMA. </t>
  </si>
  <si>
    <t xml:space="preserve">ICICI BANK  </t>
  </si>
  <si>
    <t xml:space="preserve">AXIS BANK   </t>
  </si>
  <si>
    <t xml:space="preserve">HCL TECHNO  </t>
  </si>
  <si>
    <t xml:space="preserve">BHARTI ARTL </t>
  </si>
  <si>
    <t xml:space="preserve">MARUTISUZUK </t>
  </si>
  <si>
    <t xml:space="preserve">TCS LTD.    </t>
  </si>
  <si>
    <t xml:space="preserve">NTPC LTD    </t>
  </si>
  <si>
    <t xml:space="preserve">YES BANK    </t>
  </si>
  <si>
    <t xml:space="preserve">POWER GRID  </t>
  </si>
  <si>
    <t xml:space="preserve">BAJAJ AUTO  </t>
  </si>
  <si>
    <t xml:space="preserve">COAL INDIA  </t>
  </si>
  <si>
    <t xml:space="preserve">TATAMTRTDVR </t>
  </si>
  <si>
    <t>Weekly</t>
  </si>
  <si>
    <t>Issued Capital     (Rs. crore)</t>
  </si>
  <si>
    <t>Free Float Market Capitalisation (Rs. crore)</t>
  </si>
  <si>
    <r>
      <t>R</t>
    </r>
    <r>
      <rPr>
        <b/>
        <vertAlign val="superscript"/>
        <sz val="11"/>
        <rFont val="Garamond"/>
        <family val="1"/>
      </rPr>
      <t>2</t>
    </r>
  </si>
  <si>
    <t>(in ` crore)</t>
  </si>
  <si>
    <r>
      <t>R</t>
    </r>
    <r>
      <rPr>
        <b/>
        <vertAlign val="superscript"/>
        <sz val="10"/>
        <color theme="1"/>
        <rFont val="Garamond"/>
        <family val="1"/>
      </rPr>
      <t>2</t>
    </r>
  </si>
  <si>
    <t>Impact Cost (Percent)*</t>
  </si>
  <si>
    <t>TITAN</t>
  </si>
  <si>
    <t>1. Equity public issues also includes issues listed on SME platform.</t>
  </si>
  <si>
    <t>2. Since April 2018, the equity issue is categorised based on their respective closing dates. Prior to April 2018, it was  classified based on opening date of the issue.</t>
  </si>
  <si>
    <t xml:space="preserve">Notes: 1. The above data includes both "no. of issues" and "Amount" raised on conversion of convertible securities issued on QIP basis. 
</t>
  </si>
  <si>
    <t>Table 17:  Distribution of Turnover on Cash Segments of Exchanges</t>
  </si>
  <si>
    <t>(in Per cent)</t>
  </si>
  <si>
    <t>(in per cent)</t>
  </si>
  <si>
    <t>Delivered Value in Demat Mode         (` crore)</t>
  </si>
  <si>
    <t>Delivered Value in Demat Mode         (₹ crore)</t>
  </si>
  <si>
    <t xml:space="preserve">No. of schemes </t>
  </si>
  <si>
    <t xml:space="preserve">No. of Folios </t>
  </si>
  <si>
    <t xml:space="preserve">Net Inflow (+ve)/ Outflow (-ve) </t>
  </si>
  <si>
    <t>7,08,991</t>
  </si>
  <si>
    <t>6,21,112</t>
  </si>
  <si>
    <t>22,67,416</t>
  </si>
  <si>
    <t>18,77,490</t>
  </si>
  <si>
    <t>3,89,925</t>
  </si>
  <si>
    <t>29,76,407</t>
  </si>
  <si>
    <t>24,98,603</t>
  </si>
  <si>
    <t>4,77,804</t>
  </si>
  <si>
    <t>Funds mobilized</t>
  </si>
  <si>
    <t>Repurchase/ Redemptio</t>
  </si>
  <si>
    <t>Net Assets Under Management as on</t>
  </si>
  <si>
    <t>278*</t>
  </si>
  <si>
    <t xml:space="preserve">Notes : Contract size for all diamond futures contract at ICEX is one cent. </t>
  </si>
  <si>
    <t>Volume ('000  tonnes)</t>
  </si>
  <si>
    <t>Note</t>
  </si>
  <si>
    <t>i) Volume for Diamond 1 CT, 0.5CT &amp; 0.3CT has been given in Carat only (e.g. if volume is 80312.2 i.e. 80312.2 carats) and 1 Carat is equivalent to 100 cents.</t>
  </si>
  <si>
    <t>ii. Conversion factors: OMAN Crude Oil (1 Tonne = 7.33Barrels)</t>
  </si>
  <si>
    <t>May-19</t>
  </si>
  <si>
    <t>May-18</t>
  </si>
  <si>
    <t>%
Change during the year</t>
  </si>
  <si>
    <t>%
Change during the month</t>
  </si>
  <si>
    <r>
      <t>Turnover 
(</t>
    </r>
    <r>
      <rPr>
        <sz val="11"/>
        <color theme="1"/>
        <rFont val="Rupee Foradian"/>
        <family val="2"/>
      </rPr>
      <t>₹</t>
    </r>
    <r>
      <rPr>
        <b/>
        <sz val="11"/>
        <color theme="1"/>
        <rFont val="Rupee Foradian"/>
        <family val="2"/>
      </rPr>
      <t xml:space="preserve"> </t>
    </r>
    <r>
      <rPr>
        <b/>
        <sz val="11"/>
        <color theme="1"/>
        <rFont val="Garamond"/>
        <family val="1"/>
      </rPr>
      <t>crore)</t>
    </r>
  </si>
  <si>
    <r>
      <t>Value
(</t>
    </r>
    <r>
      <rPr>
        <sz val="11"/>
        <color theme="1"/>
        <rFont val="Rupee Foradian"/>
        <family val="2"/>
      </rPr>
      <t>₹</t>
    </r>
    <r>
      <rPr>
        <b/>
        <sz val="11"/>
        <color theme="1"/>
        <rFont val="Rupee Foradian"/>
        <family val="2"/>
      </rPr>
      <t xml:space="preserve"> </t>
    </r>
    <r>
      <rPr>
        <b/>
        <sz val="11"/>
        <color theme="1"/>
        <rFont val="Garamond"/>
        <family val="1"/>
      </rPr>
      <t>crore)</t>
    </r>
  </si>
  <si>
    <r>
      <t>Turnover 
(</t>
    </r>
    <r>
      <rPr>
        <sz val="11"/>
        <color theme="1"/>
        <rFont val="Garamond"/>
        <family val="1"/>
      </rPr>
      <t xml:space="preserve">₹ </t>
    </r>
    <r>
      <rPr>
        <b/>
        <sz val="11"/>
        <color theme="1"/>
        <rFont val="Garamond"/>
        <family val="1"/>
      </rPr>
      <t>crore)</t>
    </r>
  </si>
  <si>
    <r>
      <t>Notional Value 
(</t>
    </r>
    <r>
      <rPr>
        <sz val="11"/>
        <rFont val="Garamond"/>
        <family val="1"/>
      </rPr>
      <t>₹</t>
    </r>
    <r>
      <rPr>
        <b/>
        <sz val="11"/>
        <rFont val="Garamond"/>
        <family val="1"/>
      </rPr>
      <t xml:space="preserve"> crore)</t>
    </r>
  </si>
  <si>
    <r>
      <t>Turnover 
(</t>
    </r>
    <r>
      <rPr>
        <sz val="11"/>
        <color theme="1"/>
        <rFont val="Rupee Foradian"/>
        <family val="2"/>
      </rPr>
      <t xml:space="preserve">₹ </t>
    </r>
    <r>
      <rPr>
        <b/>
        <sz val="11"/>
        <color theme="1"/>
        <rFont val="Garamond"/>
        <family val="1"/>
      </rPr>
      <t>crore)</t>
    </r>
  </si>
  <si>
    <r>
      <t>Notional Value
(</t>
    </r>
    <r>
      <rPr>
        <sz val="11"/>
        <rFont val="Garamond"/>
        <family val="1"/>
      </rPr>
      <t xml:space="preserve">₹ </t>
    </r>
    <r>
      <rPr>
        <b/>
        <sz val="11"/>
        <rFont val="Garamond"/>
        <family val="1"/>
      </rPr>
      <t>crore)</t>
    </r>
  </si>
  <si>
    <t>Free Float Market Capitalisation
(` crore)</t>
  </si>
  <si>
    <t>Offer Price (`) per share</t>
  </si>
  <si>
    <t>Offer Size (` crore)</t>
  </si>
  <si>
    <t>Vadodara</t>
  </si>
  <si>
    <t>Ernakulam</t>
  </si>
  <si>
    <t xml:space="preserve">Notes: 1. Beta &amp; R2 are calculated for the trailing 12 months .Beta measures the  degree to which any portfolio of stocks is affected </t>
  </si>
  <si>
    <t>( in ` crore)</t>
  </si>
  <si>
    <t>Turnover
(` crores)</t>
  </si>
  <si>
    <t>34,17,679</t>
  </si>
  <si>
    <t>Total (A+B+C)</t>
  </si>
  <si>
    <t>1. *One PMS entity has closed/terminated its PMS activities as on March 31, 2019. The data includes holding/AUM not yet transferred to other Fund Managers.</t>
  </si>
  <si>
    <t xml:space="preserve">2. **Value of Assets for which Advisory Services are being given. </t>
  </si>
  <si>
    <t>4. The above data is based on the monthly report received from Portfolio Managers.</t>
  </si>
  <si>
    <t>Total*</t>
  </si>
  <si>
    <t>Advisory**</t>
  </si>
  <si>
    <t>3. of the above AUM Rs. 11,67,107/- Cores are contributed by funds from EPFO/PFs.</t>
  </si>
  <si>
    <t>Acuite</t>
  </si>
  <si>
    <t>ICRA</t>
  </si>
  <si>
    <t>Crisil</t>
  </si>
  <si>
    <t>CARE</t>
  </si>
  <si>
    <t>1,49,215.90</t>
  </si>
  <si>
    <t>1,49,559.80</t>
  </si>
  <si>
    <t>India</t>
  </si>
  <si>
    <t>-</t>
  </si>
  <si>
    <t xml:space="preserve">I. GDP at Current prices (2011-12 prices) for 2018-19 (` crore)#                         </t>
  </si>
  <si>
    <t># Provisional Extimates as per MOSPI press release dated 31.05.2019</t>
  </si>
  <si>
    <r>
      <t>Discretionary</t>
    </r>
    <r>
      <rPr>
        <b/>
        <sz val="8"/>
        <color rgb="FF000000"/>
        <rFont val="Arial"/>
        <family val="2"/>
      </rPr>
      <t>#</t>
    </r>
  </si>
  <si>
    <t>Advisory*</t>
  </si>
  <si>
    <t>AUM (Rs. Crore)</t>
  </si>
  <si>
    <t/>
  </si>
  <si>
    <t>Listed  Equity</t>
  </si>
  <si>
    <t>Unlisted  Equity</t>
  </si>
  <si>
    <t>Equity Derivative</t>
  </si>
  <si>
    <t>Mutual Fund</t>
  </si>
  <si>
    <t>*Total</t>
  </si>
  <si>
    <t xml:space="preserve">Table 74: Commodity-wise monthly turnover and trading volume at NCDEX </t>
  </si>
  <si>
    <t>Table 73: Commodity-wise monthly turnover and trading volume at MCX</t>
  </si>
  <si>
    <t>Table 72: Participant-wise percentage share of turnover at MCX, NCDEX, ICEX, BSE and NSE</t>
  </si>
  <si>
    <t>Table 71: Trends in commodity derivatives at NSE</t>
  </si>
  <si>
    <t xml:space="preserve">Table 70: Trends in commodity derivatives at BSE </t>
  </si>
  <si>
    <t>Table 69: Trends in commodity derivatives at ICEX</t>
  </si>
  <si>
    <t xml:space="preserve">Table 68: Trends in commodity derivatives at NCDEX </t>
  </si>
  <si>
    <t xml:space="preserve">Table 67: Trends in commodity derivatives at MCX </t>
  </si>
  <si>
    <t>Table 66: Trends in commodity indices</t>
  </si>
  <si>
    <t>Table 65: Number of commodities permitted and traded at exchanges</t>
  </si>
  <si>
    <t>Table 75: Commodity-wise monthly turnover and trading volume at ICEX, BSE and NSE</t>
  </si>
  <si>
    <t>Table 76:  Macro Economic Indicators</t>
  </si>
  <si>
    <t>Table 65:  Number of Commodities Permitted and traded at Exchanges</t>
  </si>
  <si>
    <t>Table 66:  Trends in Commodity Indices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</si>
</sst>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164" formatCode="_(* #,##0.00_);_(* \(#,##0.00\);_(* &quot;-&quot;??_);_(@_)"/>
    <numFmt numFmtId="165" formatCode="#,##0;\-#,##0;0"/>
    <numFmt numFmtId="166" formatCode="0.0"/>
    <numFmt numFmtId="167" formatCode="0.0;\-0.0;0"/>
    <numFmt numFmtId="168" formatCode="#,##0;\-#,##0;0.0"/>
    <numFmt numFmtId="169" formatCode="0;\(0\)"/>
    <numFmt numFmtId="170" formatCode="0\,00\,000;\-0\,00\,000;0"/>
    <numFmt numFmtId="171" formatCode="0\,00\,00\,000;\-0\,00\,00\,000;0"/>
    <numFmt numFmtId="172" formatCode="0.0;\-0.0;0.0"/>
    <numFmt numFmtId="173" formatCode="0.0;0.0;0"/>
    <numFmt numFmtId="174" formatCode="0.0;\(0\);0.0"/>
    <numFmt numFmtId="175" formatCode="0.00;\-0.00;0.0"/>
    <numFmt numFmtId="176" formatCode="#,##0.0;\-#,##0.0;0.0"/>
    <numFmt numFmtId="177" formatCode="#,##0.0"/>
    <numFmt numFmtId="178" formatCode="0;\-0;0"/>
    <numFmt numFmtId="179" formatCode="0\,00\,00\,00\,000;\-0\,00\,00\,00\,000;0"/>
    <numFmt numFmtId="180" formatCode="#,##0.00;\-#,##0.00;0.0"/>
    <numFmt numFmtId="181" formatCode="[$-409]d\-mmm\-yy;@"/>
    <numFmt numFmtId="182" formatCode="[&gt;=10000000]#\,##\,##\,##0;[&gt;=100000]#\,##\,##0;##,##0"/>
    <numFmt numFmtId="183" formatCode="[$-409]mmm\-yy;@"/>
    <numFmt numFmtId="184" formatCode="[&gt;=10000000]#.###\,##\,##0;[&gt;=100000]#.###\,##0;##,##0.0"/>
    <numFmt numFmtId="185" formatCode="[&gt;=10000000]#.00\,##\,##\,##0;[&gt;=100000]#.00\,##\,##0;##,##0.00"/>
    <numFmt numFmtId="186" formatCode="[&gt;9999999]##\,##\,##\,##0;[&gt;99999]##\,##\,##0;##,##0"/>
    <numFmt numFmtId="187" formatCode="#,##0.00000"/>
    <numFmt numFmtId="188" formatCode="_(* #,##0_);_(* \(#,##0\);_(* &quot;-&quot;??_);_(@_)"/>
    <numFmt numFmtId="189" formatCode="[&gt;=10000000]#.0\,##\,##\,##0;[&gt;=100000]#.0\,##\,##0;##,##0.0"/>
    <numFmt numFmtId="190" formatCode="[&gt;=10000000]#.##;[&gt;=100000]#;##,##0"/>
    <numFmt numFmtId="191" formatCode="#,##0.0;\-#,##0.0"/>
    <numFmt numFmtId="192" formatCode="0.0000"/>
    <numFmt numFmtId="193" formatCode="[&gt;=10000000]#.##\,##\,##0;[&gt;=100000]#.##\,##0;##,##0"/>
    <numFmt numFmtId="194" formatCode="_(* #,##0.0_);_(* \(#,##0.0\);_(* &quot;-&quot;??_);_(@_)"/>
    <numFmt numFmtId="195" formatCode="_(* #,##0.000_);_(* \(#,##0.000\);_(* &quot;-&quot;??_);_(@_)"/>
    <numFmt numFmtId="196" formatCode="0.00000"/>
    <numFmt numFmtId="197" formatCode="[$-C09]dd\-mmm\-yy;@"/>
    <numFmt numFmtId="198" formatCode="0.00_);\(0.00\)"/>
    <numFmt numFmtId="199" formatCode="0.000"/>
    <numFmt numFmtId="200" formatCode="#,##0.0;\-#,##0.0;0"/>
  </numFmts>
  <fonts count="75" x14ac:knownFonts="1">
    <font>
      <sz val="10"/>
      <name val="Arial"/>
    </font>
    <font>
      <sz val="11"/>
      <color theme="1"/>
      <name val="Calibri"/>
      <family val="2"/>
      <scheme val="minor"/>
    </font>
    <font>
      <sz val="11"/>
      <color theme="1"/>
      <name val="Calibri"/>
      <family val="2"/>
      <scheme val="minor"/>
    </font>
    <font>
      <b/>
      <sz val="10"/>
      <color indexed="8"/>
      <name val="Arial"/>
      <family val="2"/>
    </font>
    <font>
      <b/>
      <sz val="9"/>
      <color indexed="8"/>
      <name val="Arial"/>
      <family val="2"/>
    </font>
    <font>
      <sz val="10"/>
      <color indexed="8"/>
      <name val="Arial"/>
      <family val="2"/>
    </font>
    <font>
      <sz val="6"/>
      <color indexed="8"/>
      <name val="Arial"/>
      <family val="2"/>
    </font>
    <font>
      <b/>
      <sz val="10"/>
      <color indexed="8"/>
      <name val="Rupee Foradian"/>
      <family val="2"/>
    </font>
    <font>
      <b/>
      <sz val="9"/>
      <color indexed="9"/>
      <name val="Arial"/>
      <family val="2"/>
    </font>
    <font>
      <sz val="9"/>
      <color indexed="9"/>
      <name val="Arial"/>
      <family val="2"/>
    </font>
    <font>
      <sz val="10"/>
      <color theme="1"/>
      <name val="Arial"/>
      <family val="2"/>
    </font>
    <font>
      <b/>
      <sz val="10"/>
      <color theme="1"/>
      <name val="Arial"/>
      <family val="2"/>
    </font>
    <font>
      <sz val="10"/>
      <name val="Arial"/>
      <family val="2"/>
    </font>
    <font>
      <b/>
      <sz val="12"/>
      <color theme="1"/>
      <name val="Garamond"/>
      <family val="1"/>
    </font>
    <font>
      <sz val="11"/>
      <color theme="1"/>
      <name val="Garamond"/>
      <family val="1"/>
    </font>
    <font>
      <b/>
      <sz val="11"/>
      <color theme="1"/>
      <name val="Garamond"/>
      <family val="1"/>
    </font>
    <font>
      <b/>
      <sz val="11"/>
      <color theme="1"/>
      <name val="Rupee Foradian"/>
      <family val="2"/>
    </font>
    <font>
      <sz val="11"/>
      <name val="Garamond"/>
      <family val="1"/>
    </font>
    <font>
      <sz val="11"/>
      <name val="Rupee Foradian"/>
      <family val="2"/>
    </font>
    <font>
      <sz val="11"/>
      <color theme="1"/>
      <name val="Rupee Foradian"/>
      <family val="2"/>
    </font>
    <font>
      <sz val="10"/>
      <name val="Times New Roman"/>
      <family val="1"/>
    </font>
    <font>
      <sz val="8"/>
      <color rgb="FF000000"/>
      <name val="Arial"/>
      <family val="2"/>
    </font>
    <font>
      <u/>
      <sz val="11"/>
      <color theme="10"/>
      <name val="Calibri"/>
      <family val="2"/>
      <scheme val="minor"/>
    </font>
    <font>
      <sz val="11"/>
      <color rgb="FF009933"/>
      <name val="Arial"/>
      <family val="2"/>
    </font>
    <font>
      <sz val="10"/>
      <color theme="1"/>
      <name val="Garamond"/>
      <family val="1"/>
    </font>
    <font>
      <b/>
      <sz val="10"/>
      <color theme="1"/>
      <name val="Garamond"/>
      <family val="1"/>
    </font>
    <font>
      <sz val="9"/>
      <color theme="1"/>
      <name val="Arial"/>
      <family val="2"/>
    </font>
    <font>
      <sz val="10"/>
      <color indexed="8"/>
      <name val="Arial"/>
      <family val="2"/>
    </font>
    <font>
      <b/>
      <sz val="11"/>
      <color rgb="FF000000"/>
      <name val="Garamond"/>
      <family val="1"/>
    </font>
    <font>
      <sz val="10"/>
      <name val="Garamond"/>
      <family val="1"/>
    </font>
    <font>
      <b/>
      <sz val="9"/>
      <color theme="1"/>
      <name val="Garamond"/>
      <family val="1"/>
    </font>
    <font>
      <b/>
      <sz val="10"/>
      <name val="Garamond"/>
      <family val="1"/>
    </font>
    <font>
      <sz val="8"/>
      <color theme="1"/>
      <name val="Arial"/>
      <family val="2"/>
    </font>
    <font>
      <sz val="9"/>
      <color theme="1"/>
      <name val="Garamond"/>
      <family val="1"/>
    </font>
    <font>
      <sz val="9"/>
      <name val="Garamond"/>
      <family val="1"/>
    </font>
    <font>
      <b/>
      <sz val="10"/>
      <color theme="1"/>
      <name val="Rupee Foradian"/>
      <family val="2"/>
    </font>
    <font>
      <b/>
      <sz val="9"/>
      <name val="Garamond"/>
      <family val="1"/>
    </font>
    <font>
      <sz val="10"/>
      <color rgb="FFFF0000"/>
      <name val="Garamond"/>
      <family val="1"/>
    </font>
    <font>
      <sz val="10"/>
      <color rgb="FF000000"/>
      <name val="Garamond"/>
      <family val="1"/>
    </font>
    <font>
      <sz val="10"/>
      <color theme="1"/>
      <name val="Calibri"/>
      <family val="2"/>
      <scheme val="minor"/>
    </font>
    <font>
      <sz val="10"/>
      <color rgb="FFFF0000"/>
      <name val="Calibri"/>
      <family val="2"/>
      <scheme val="minor"/>
    </font>
    <font>
      <sz val="10"/>
      <color rgb="FF0000FF"/>
      <name val="Calibri"/>
      <family val="2"/>
      <scheme val="minor"/>
    </font>
    <font>
      <b/>
      <sz val="10"/>
      <color rgb="FFFF0000"/>
      <name val="Garamond"/>
      <family val="1"/>
    </font>
    <font>
      <sz val="10"/>
      <name val="Arial"/>
      <family val="2"/>
    </font>
    <font>
      <b/>
      <sz val="10"/>
      <color indexed="8"/>
      <name val="Garamond"/>
      <family val="1"/>
    </font>
    <font>
      <b/>
      <sz val="9"/>
      <color indexed="8"/>
      <name val="Garamond"/>
      <family val="1"/>
    </font>
    <font>
      <sz val="6"/>
      <color indexed="8"/>
      <name val="Garamond"/>
      <family val="1"/>
    </font>
    <font>
      <sz val="10"/>
      <color indexed="8"/>
      <name val="Garamond"/>
      <family val="1"/>
    </font>
    <font>
      <sz val="9"/>
      <color indexed="8"/>
      <name val="Garamond"/>
      <family val="1"/>
    </font>
    <font>
      <b/>
      <sz val="11"/>
      <color indexed="8"/>
      <name val="Garamond"/>
      <family val="1"/>
    </font>
    <font>
      <sz val="11"/>
      <color rgb="FF000000"/>
      <name val="Garamond"/>
      <family val="1"/>
    </font>
    <font>
      <sz val="11"/>
      <color indexed="8"/>
      <name val="Garamond"/>
      <family val="1"/>
    </font>
    <font>
      <b/>
      <sz val="11"/>
      <name val="Garamond"/>
      <family val="1"/>
    </font>
    <font>
      <sz val="10"/>
      <color indexed="8"/>
      <name val="Garamond"/>
      <family val="2"/>
    </font>
    <font>
      <sz val="10"/>
      <color theme="1"/>
      <name val="Garamond"/>
      <family val="2"/>
    </font>
    <font>
      <b/>
      <vertAlign val="superscript"/>
      <sz val="11"/>
      <name val="Garamond"/>
      <family val="1"/>
    </font>
    <font>
      <b/>
      <vertAlign val="superscript"/>
      <sz val="10"/>
      <color theme="1"/>
      <name val="Garamond"/>
      <family val="1"/>
    </font>
    <font>
      <sz val="14"/>
      <color theme="1"/>
      <name val="Arial"/>
      <family val="2"/>
    </font>
    <font>
      <sz val="11"/>
      <name val="Times New Roman"/>
      <family val="1"/>
    </font>
    <font>
      <b/>
      <i/>
      <sz val="11"/>
      <color indexed="8"/>
      <name val="Garamond"/>
      <family val="1"/>
    </font>
    <font>
      <sz val="9"/>
      <color rgb="FF000000"/>
      <name val="Garamond"/>
      <family val="1"/>
    </font>
    <font>
      <sz val="9"/>
      <name val="Arial"/>
      <family val="2"/>
    </font>
    <font>
      <sz val="9"/>
      <color theme="1"/>
      <name val="Calibri"/>
      <family val="2"/>
      <scheme val="minor"/>
    </font>
    <font>
      <sz val="9"/>
      <color theme="1"/>
      <name val="Times New Roman"/>
      <family val="1"/>
    </font>
    <font>
      <sz val="11"/>
      <color rgb="FF000000"/>
      <name val="Palatino Linotype"/>
      <family val="1"/>
    </font>
    <font>
      <b/>
      <sz val="10"/>
      <name val="Rupee Foradian"/>
      <family val="2"/>
    </font>
    <font>
      <b/>
      <sz val="12"/>
      <color indexed="8"/>
      <name val="Garamond"/>
      <family val="1"/>
    </font>
    <font>
      <sz val="12"/>
      <name val="Garamond"/>
      <family val="1"/>
    </font>
    <font>
      <b/>
      <sz val="9"/>
      <color rgb="FF000000"/>
      <name val="Garamond"/>
      <family val="1"/>
    </font>
    <font>
      <sz val="11"/>
      <color rgb="FF000000"/>
      <name val="Arial"/>
      <family val="2"/>
    </font>
    <font>
      <b/>
      <sz val="11"/>
      <color rgb="FF000000"/>
      <name val="Arial"/>
      <family val="2"/>
    </font>
    <font>
      <b/>
      <sz val="8"/>
      <color rgb="FF000000"/>
      <name val="Arial"/>
      <family val="2"/>
    </font>
    <font>
      <sz val="14"/>
      <color rgb="FF000000"/>
      <name val="Calibri"/>
      <family val="2"/>
      <scheme val="minor"/>
    </font>
    <font>
      <sz val="11"/>
      <name val="Arial"/>
      <family val="2"/>
    </font>
    <font>
      <b/>
      <sz val="11"/>
      <name val="Arial"/>
      <family val="2"/>
    </font>
  </fonts>
  <fills count="10">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s>
  <borders count="66">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style="thin">
        <color indexed="31"/>
      </left>
      <right/>
      <top style="thin">
        <color indexed="31"/>
      </top>
      <bottom style="thin">
        <color indexed="31"/>
      </bottom>
      <diagonal/>
    </border>
    <border>
      <left/>
      <right/>
      <top style="thin">
        <color indexed="31"/>
      </top>
      <bottom style="thin">
        <color indexed="31"/>
      </bottom>
      <diagonal/>
    </border>
    <border>
      <left/>
      <right style="thin">
        <color indexed="31"/>
      </right>
      <top style="thin">
        <color indexed="31"/>
      </top>
      <bottom style="thin">
        <color indexed="3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rgb="FF000000"/>
      </left>
      <right/>
      <top style="thin">
        <color indexed="64"/>
      </top>
      <bottom style="thin">
        <color indexed="64"/>
      </bottom>
      <diagonal/>
    </border>
    <border>
      <left style="thin">
        <color rgb="FF000000"/>
      </left>
      <right/>
      <top/>
      <bottom style="thin">
        <color indexed="64"/>
      </bottom>
      <diagonal/>
    </border>
    <border>
      <left style="thin">
        <color rgb="FF000000"/>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style="thin">
        <color indexed="8"/>
      </top>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31"/>
      </bottom>
      <diagonal/>
    </border>
    <border>
      <left/>
      <right style="thin">
        <color indexed="8"/>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s>
  <cellStyleXfs count="33">
    <xf numFmtId="0" fontId="0" fillId="0" borderId="0" applyNumberFormat="0" applyFont="0" applyFill="0" applyBorder="0" applyAlignment="0" applyProtection="0"/>
    <xf numFmtId="181" fontId="12" fillId="0" borderId="0"/>
    <xf numFmtId="181" fontId="12" fillId="0" borderId="0"/>
    <xf numFmtId="184" fontId="20" fillId="0" borderId="0">
      <alignment horizontal="right"/>
    </xf>
    <xf numFmtId="0" fontId="22" fillId="0" borderId="0" applyNumberFormat="0" applyFill="0" applyBorder="0" applyAlignment="0" applyProtection="0"/>
    <xf numFmtId="0" fontId="12" fillId="0" borderId="0" applyNumberFormat="0" applyFill="0" applyBorder="0" applyAlignment="0" applyProtection="0"/>
    <xf numFmtId="181" fontId="2" fillId="0" borderId="0"/>
    <xf numFmtId="181" fontId="12" fillId="0" borderId="0" applyNumberFormat="0" applyFill="0" applyBorder="0" applyAlignment="0" applyProtection="0"/>
    <xf numFmtId="181" fontId="12" fillId="0" borderId="0" applyNumberForma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12" fillId="0" borderId="0"/>
    <xf numFmtId="0" fontId="2" fillId="0" borderId="0"/>
    <xf numFmtId="181" fontId="12" fillId="0" borderId="0" applyNumberFormat="0" applyFill="0" applyBorder="0" applyAlignment="0" applyProtection="0"/>
    <xf numFmtId="164" fontId="43" fillId="0" borderId="0" applyFont="0" applyFill="0" applyBorder="0" applyAlignment="0" applyProtection="0"/>
    <xf numFmtId="181" fontId="12" fillId="0" borderId="0"/>
    <xf numFmtId="181" fontId="12" fillId="0" borderId="0"/>
    <xf numFmtId="181" fontId="12" fillId="0" borderId="0" applyNumberFormat="0" applyFill="0" applyBorder="0" applyAlignment="0" applyProtection="0"/>
    <xf numFmtId="181" fontId="12" fillId="0" borderId="0" applyNumberFormat="0" applyFill="0" applyBorder="0" applyAlignment="0" applyProtection="0"/>
    <xf numFmtId="198" fontId="20" fillId="0" borderId="0">
      <alignment horizontal="right"/>
    </xf>
    <xf numFmtId="0" fontId="12" fillId="0" borderId="0" applyNumberFormat="0" applyFill="0" applyBorder="0" applyAlignment="0" applyProtection="0"/>
    <xf numFmtId="0" fontId="12" fillId="0" borderId="0" applyNumberFormat="0" applyFill="0" applyBorder="0" applyAlignment="0" applyProtection="0"/>
    <xf numFmtId="181" fontId="1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181" fontId="12" fillId="0" borderId="0" applyNumberFormat="0" applyFill="0" applyBorder="0" applyAlignment="0" applyProtection="0"/>
    <xf numFmtId="181" fontId="2" fillId="0" borderId="0" applyNumberFormat="0" applyFill="0" applyBorder="0" applyAlignment="0" applyProtection="0"/>
    <xf numFmtId="0" fontId="54" fillId="0" borderId="0"/>
    <xf numFmtId="164" fontId="53" fillId="0" borderId="0" applyFont="0" applyFill="0" applyBorder="0" applyAlignment="0" applyProtection="0"/>
    <xf numFmtId="183" fontId="2" fillId="0" borderId="0" applyNumberFormat="0" applyFill="0" applyBorder="0" applyAlignment="0" applyProtection="0"/>
    <xf numFmtId="183" fontId="2" fillId="0" borderId="0" applyNumberFormat="0" applyFill="0" applyBorder="0" applyAlignment="0" applyProtection="0"/>
    <xf numFmtId="0" fontId="54" fillId="0" borderId="0" applyNumberFormat="0" applyFill="0" applyBorder="0" applyAlignment="0" applyProtection="0"/>
    <xf numFmtId="181" fontId="12" fillId="0" borderId="0" applyNumberFormat="0" applyFill="0" applyBorder="0" applyAlignment="0" applyProtection="0"/>
  </cellStyleXfs>
  <cellXfs count="818">
    <xf numFmtId="0" fontId="0" fillId="0" borderId="0" xfId="0" applyNumberFormat="1" applyFont="1" applyFill="1" applyBorder="1" applyAlignment="1"/>
    <xf numFmtId="49" fontId="3" fillId="2" borderId="0" xfId="0" applyNumberFormat="1" applyFont="1" applyFill="1" applyAlignment="1">
      <alignment horizontal="left" vertical="top"/>
    </xf>
    <xf numFmtId="49" fontId="4" fillId="2" borderId="1" xfId="0" applyNumberFormat="1" applyFont="1" applyFill="1" applyBorder="1" applyAlignment="1">
      <alignment horizontal="center"/>
    </xf>
    <xf numFmtId="49" fontId="5" fillId="2" borderId="1" xfId="0" applyNumberFormat="1" applyFont="1" applyFill="1" applyBorder="1" applyAlignment="1">
      <alignment horizontal="left"/>
    </xf>
    <xf numFmtId="0" fontId="6" fillId="2" borderId="0" xfId="0" applyFont="1" applyFill="1" applyAlignment="1">
      <alignment vertical="center"/>
    </xf>
    <xf numFmtId="49" fontId="3" fillId="2" borderId="0" xfId="0" applyNumberFormat="1" applyFont="1" applyFill="1" applyAlignment="1">
      <alignment horizontal="left"/>
    </xf>
    <xf numFmtId="49" fontId="3"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right"/>
    </xf>
    <xf numFmtId="49" fontId="4" fillId="2" borderId="3" xfId="0" applyNumberFormat="1" applyFont="1" applyFill="1" applyBorder="1" applyAlignment="1">
      <alignment horizontal="center" vertical="center"/>
    </xf>
    <xf numFmtId="49" fontId="8" fillId="2" borderId="5" xfId="0" applyNumberFormat="1" applyFont="1" applyFill="1" applyBorder="1" applyAlignment="1">
      <alignment horizontal="center" vertical="center" wrapText="1"/>
    </xf>
    <xf numFmtId="49" fontId="9" fillId="2" borderId="5" xfId="0" applyNumberFormat="1" applyFont="1" applyFill="1" applyBorder="1" applyAlignment="1">
      <alignment horizontal="left"/>
    </xf>
    <xf numFmtId="49" fontId="9" fillId="2" borderId="6" xfId="0" applyNumberFormat="1" applyFont="1" applyFill="1" applyBorder="1" applyAlignment="1">
      <alignment horizontal="left"/>
    </xf>
    <xf numFmtId="181" fontId="13" fillId="0" borderId="18" xfId="1" applyFont="1" applyBorder="1"/>
    <xf numFmtId="181" fontId="13" fillId="0" borderId="19" xfId="1" applyFont="1" applyBorder="1"/>
    <xf numFmtId="181" fontId="14" fillId="0" borderId="19" xfId="1" applyFont="1" applyBorder="1"/>
    <xf numFmtId="181" fontId="14" fillId="0" borderId="21" xfId="1" applyFont="1" applyBorder="1"/>
    <xf numFmtId="181" fontId="14" fillId="0" borderId="22" xfId="1" applyFont="1" applyBorder="1"/>
    <xf numFmtId="0" fontId="0" fillId="0" borderId="0" xfId="0"/>
    <xf numFmtId="181" fontId="10" fillId="0" borderId="0" xfId="1" applyFont="1"/>
    <xf numFmtId="0" fontId="15" fillId="3" borderId="23" xfId="0" applyFont="1" applyFill="1" applyBorder="1" applyAlignment="1">
      <alignment vertical="center"/>
    </xf>
    <xf numFmtId="183" fontId="15" fillId="3" borderId="23" xfId="1" applyNumberFormat="1" applyFont="1" applyFill="1" applyBorder="1" applyAlignment="1">
      <alignment horizontal="center" vertical="top" wrapText="1"/>
    </xf>
    <xf numFmtId="181" fontId="14" fillId="0" borderId="24" xfId="1" applyFont="1" applyFill="1" applyBorder="1" applyAlignment="1">
      <alignment horizontal="justify" vertical="top" wrapText="1"/>
    </xf>
    <xf numFmtId="166" fontId="14" fillId="0" borderId="23" xfId="2" applyNumberFormat="1" applyFont="1" applyFill="1" applyBorder="1" applyAlignment="1">
      <alignment horizontal="right" wrapText="1"/>
    </xf>
    <xf numFmtId="181" fontId="14" fillId="0" borderId="25" xfId="1" applyFont="1" applyFill="1" applyBorder="1" applyAlignment="1">
      <alignment horizontal="justify" vertical="top" wrapText="1"/>
    </xf>
    <xf numFmtId="2" fontId="14" fillId="0" borderId="26" xfId="2" applyNumberFormat="1" applyFont="1" applyFill="1" applyBorder="1" applyAlignment="1">
      <alignment horizontal="right" wrapText="1"/>
    </xf>
    <xf numFmtId="181" fontId="17" fillId="0" borderId="26" xfId="1" applyFont="1" applyFill="1" applyBorder="1" applyAlignment="1">
      <alignment horizontal="justify" vertical="top" wrapText="1"/>
    </xf>
    <xf numFmtId="182" fontId="14" fillId="0" borderId="26" xfId="2" applyNumberFormat="1" applyFont="1" applyFill="1" applyBorder="1" applyAlignment="1">
      <alignment horizontal="right" wrapText="1"/>
    </xf>
    <xf numFmtId="182" fontId="14" fillId="0" borderId="0" xfId="2" applyNumberFormat="1" applyFont="1" applyFill="1" applyBorder="1" applyAlignment="1">
      <alignment horizontal="right" wrapText="1"/>
    </xf>
    <xf numFmtId="181" fontId="14" fillId="0" borderId="27" xfId="1" applyFont="1" applyFill="1" applyBorder="1" applyAlignment="1">
      <alignment horizontal="justify" vertical="top" wrapText="1"/>
    </xf>
    <xf numFmtId="0" fontId="13" fillId="4" borderId="18" xfId="0" applyFont="1" applyFill="1" applyBorder="1" applyAlignment="1"/>
    <xf numFmtId="0" fontId="13" fillId="4" borderId="19" xfId="0" applyFont="1" applyFill="1" applyBorder="1" applyAlignment="1"/>
    <xf numFmtId="181" fontId="14" fillId="0" borderId="26" xfId="1" applyFont="1" applyFill="1" applyBorder="1" applyAlignment="1">
      <alignment vertical="center" wrapText="1"/>
    </xf>
    <xf numFmtId="2" fontId="14" fillId="0" borderId="23" xfId="2" applyNumberFormat="1" applyFont="1" applyFill="1" applyBorder="1" applyAlignment="1">
      <alignment horizontal="right" wrapText="1"/>
    </xf>
    <xf numFmtId="166" fontId="14" fillId="0" borderId="26" xfId="2" applyNumberFormat="1" applyFont="1" applyFill="1" applyBorder="1" applyAlignment="1">
      <alignment horizontal="right" wrapText="1"/>
    </xf>
    <xf numFmtId="181" fontId="14" fillId="0" borderId="28" xfId="1" applyFont="1" applyFill="1" applyBorder="1" applyAlignment="1">
      <alignment vertical="center" wrapText="1"/>
    </xf>
    <xf numFmtId="181" fontId="14" fillId="0" borderId="23" xfId="1" applyFont="1" applyFill="1" applyBorder="1" applyAlignment="1">
      <alignment vertical="top" wrapText="1"/>
    </xf>
    <xf numFmtId="182" fontId="14" fillId="0" borderId="26" xfId="3" applyNumberFormat="1" applyFont="1" applyFill="1" applyBorder="1">
      <alignment horizontal="right"/>
    </xf>
    <xf numFmtId="2" fontId="10" fillId="0" borderId="0" xfId="1" applyNumberFormat="1" applyFont="1"/>
    <xf numFmtId="4" fontId="21" fillId="0" borderId="0" xfId="0" applyNumberFormat="1" applyFont="1"/>
    <xf numFmtId="4" fontId="0" fillId="0" borderId="0" xfId="0" applyNumberFormat="1"/>
    <xf numFmtId="3" fontId="0" fillId="0" borderId="0" xfId="0" applyNumberFormat="1"/>
    <xf numFmtId="181" fontId="14" fillId="0" borderId="26" xfId="1" applyFont="1" applyFill="1" applyBorder="1" applyAlignment="1">
      <alignment vertical="top" wrapText="1"/>
    </xf>
    <xf numFmtId="3" fontId="14" fillId="0" borderId="26" xfId="3" applyNumberFormat="1" applyFont="1" applyFill="1" applyBorder="1">
      <alignment horizontal="right"/>
    </xf>
    <xf numFmtId="181" fontId="14" fillId="0" borderId="28" xfId="1" applyFont="1" applyFill="1" applyBorder="1" applyAlignment="1">
      <alignment vertical="top" wrapText="1"/>
    </xf>
    <xf numFmtId="185" fontId="14" fillId="0" borderId="26" xfId="2" applyNumberFormat="1" applyFont="1" applyFill="1" applyBorder="1" applyAlignment="1">
      <alignment horizontal="right" wrapText="1"/>
    </xf>
    <xf numFmtId="186" fontId="14" fillId="0" borderId="23" xfId="2" applyNumberFormat="1" applyFont="1" applyFill="1" applyBorder="1" applyAlignment="1">
      <alignment horizontal="right" wrapText="1"/>
    </xf>
    <xf numFmtId="0" fontId="22" fillId="0" borderId="0" xfId="4" applyAlignment="1" applyProtection="1"/>
    <xf numFmtId="181" fontId="14" fillId="0" borderId="24" xfId="1" applyFont="1" applyFill="1" applyBorder="1" applyAlignment="1">
      <alignment vertical="top" wrapText="1"/>
    </xf>
    <xf numFmtId="3" fontId="14" fillId="0" borderId="23" xfId="0" applyNumberFormat="1" applyFont="1" applyFill="1" applyBorder="1" applyAlignment="1">
      <alignment horizontal="right" vertical="top" wrapText="1"/>
    </xf>
    <xf numFmtId="0" fontId="23" fillId="0" borderId="0" xfId="0" applyFont="1"/>
    <xf numFmtId="181" fontId="14" fillId="0" borderId="25" xfId="1" applyFont="1" applyFill="1" applyBorder="1" applyAlignment="1">
      <alignment vertical="top" wrapText="1"/>
    </xf>
    <xf numFmtId="3" fontId="14" fillId="0" borderId="26" xfId="0" applyNumberFormat="1" applyFont="1" applyFill="1" applyBorder="1" applyAlignment="1">
      <alignment horizontal="right" vertical="top" wrapText="1"/>
    </xf>
    <xf numFmtId="181" fontId="24" fillId="0" borderId="0" xfId="1" applyFont="1" applyAlignment="1">
      <alignment vertical="center"/>
    </xf>
    <xf numFmtId="181" fontId="14" fillId="0" borderId="27" xfId="1" applyFont="1" applyFill="1" applyBorder="1" applyAlignment="1">
      <alignment vertical="top" wrapText="1"/>
    </xf>
    <xf numFmtId="3" fontId="14" fillId="0" borderId="28" xfId="0" applyNumberFormat="1" applyFont="1" applyFill="1" applyBorder="1" applyAlignment="1">
      <alignment horizontal="right" vertical="top" wrapText="1"/>
    </xf>
    <xf numFmtId="181" fontId="25" fillId="0" borderId="0" xfId="1" applyFont="1" applyFill="1" applyBorder="1" applyAlignment="1">
      <alignment horizontal="left" vertical="center"/>
    </xf>
    <xf numFmtId="181" fontId="25" fillId="0" borderId="0" xfId="1" applyFont="1" applyFill="1" applyBorder="1" applyAlignment="1">
      <alignment horizontal="left" vertical="center" wrapText="1"/>
    </xf>
    <xf numFmtId="181" fontId="25" fillId="0" borderId="0" xfId="1" applyFont="1" applyAlignment="1">
      <alignment vertical="center"/>
    </xf>
    <xf numFmtId="181" fontId="26" fillId="0" borderId="0" xfId="1" applyFont="1"/>
    <xf numFmtId="49" fontId="27" fillId="2" borderId="1" xfId="0" applyNumberFormat="1" applyFont="1" applyFill="1" applyBorder="1" applyAlignment="1">
      <alignment horizontal="left"/>
    </xf>
    <xf numFmtId="0" fontId="28" fillId="0" borderId="0" xfId="6" applyNumberFormat="1" applyFont="1" applyFill="1" applyBorder="1" applyAlignment="1">
      <alignment vertical="center"/>
    </xf>
    <xf numFmtId="0" fontId="24" fillId="0" borderId="0" xfId="6" applyNumberFormat="1" applyFont="1" applyFill="1"/>
    <xf numFmtId="1" fontId="24" fillId="0" borderId="0" xfId="6" applyNumberFormat="1" applyFont="1" applyFill="1"/>
    <xf numFmtId="0" fontId="30" fillId="0" borderId="25" xfId="6" applyNumberFormat="1" applyFont="1" applyFill="1" applyBorder="1"/>
    <xf numFmtId="0" fontId="30" fillId="0" borderId="0" xfId="6" applyNumberFormat="1" applyFont="1" applyFill="1"/>
    <xf numFmtId="0" fontId="25" fillId="0" borderId="0" xfId="6" applyNumberFormat="1" applyFont="1" applyFill="1"/>
    <xf numFmtId="0" fontId="14" fillId="0" borderId="0" xfId="6" applyNumberFormat="1" applyFont="1"/>
    <xf numFmtId="0" fontId="24" fillId="0" borderId="0" xfId="6" applyNumberFormat="1" applyFont="1"/>
    <xf numFmtId="10" fontId="25" fillId="0" borderId="0" xfId="9" applyNumberFormat="1" applyFont="1"/>
    <xf numFmtId="187" fontId="25" fillId="0" borderId="0" xfId="6" applyNumberFormat="1" applyFont="1"/>
    <xf numFmtId="0" fontId="25" fillId="0" borderId="0" xfId="6" applyNumberFormat="1" applyFont="1"/>
    <xf numFmtId="3" fontId="29" fillId="0" borderId="0" xfId="1" applyNumberFormat="1" applyFont="1" applyFill="1" applyBorder="1" applyAlignment="1">
      <alignment horizontal="right" wrapText="1"/>
    </xf>
    <xf numFmtId="0" fontId="30" fillId="0" borderId="0" xfId="6" applyNumberFormat="1" applyFont="1"/>
    <xf numFmtId="3" fontId="34" fillId="0" borderId="0" xfId="1" applyNumberFormat="1" applyFont="1" applyFill="1" applyBorder="1" applyAlignment="1">
      <alignment horizontal="right" wrapText="1"/>
    </xf>
    <xf numFmtId="0" fontId="24" fillId="0" borderId="0" xfId="6" applyNumberFormat="1" applyFont="1" applyAlignment="1">
      <alignment horizontal="center"/>
    </xf>
    <xf numFmtId="183" fontId="29" fillId="0" borderId="29" xfId="6" applyNumberFormat="1" applyFont="1" applyFill="1" applyBorder="1" applyAlignment="1">
      <alignment horizontal="left"/>
    </xf>
    <xf numFmtId="2" fontId="24" fillId="0" borderId="0" xfId="6" applyNumberFormat="1" applyFont="1"/>
    <xf numFmtId="182" fontId="24" fillId="0" borderId="0" xfId="6" applyNumberFormat="1" applyFont="1"/>
    <xf numFmtId="188" fontId="24" fillId="0" borderId="0" xfId="10" applyNumberFormat="1" applyFont="1"/>
    <xf numFmtId="1" fontId="24" fillId="0" borderId="0" xfId="6" applyNumberFormat="1" applyFont="1"/>
    <xf numFmtId="188" fontId="24" fillId="0" borderId="0" xfId="6" applyNumberFormat="1" applyFont="1"/>
    <xf numFmtId="188" fontId="37" fillId="0" borderId="0" xfId="6" applyNumberFormat="1" applyFont="1"/>
    <xf numFmtId="190" fontId="37" fillId="0" borderId="0" xfId="6" applyNumberFormat="1" applyFont="1"/>
    <xf numFmtId="1" fontId="37" fillId="8" borderId="0" xfId="6" applyNumberFormat="1" applyFont="1" applyFill="1"/>
    <xf numFmtId="0" fontId="24" fillId="0" borderId="0" xfId="6" quotePrefix="1" applyNumberFormat="1" applyFont="1"/>
    <xf numFmtId="181" fontId="30" fillId="0" borderId="0" xfId="6" applyFont="1"/>
    <xf numFmtId="181" fontId="2" fillId="0" borderId="0" xfId="6"/>
    <xf numFmtId="0" fontId="28" fillId="0" borderId="23" xfId="6" applyNumberFormat="1" applyFont="1" applyFill="1" applyBorder="1" applyAlignment="1">
      <alignment vertical="center"/>
    </xf>
    <xf numFmtId="0" fontId="28" fillId="0" borderId="24" xfId="6" applyNumberFormat="1" applyFont="1" applyFill="1" applyBorder="1" applyAlignment="1">
      <alignment vertical="center"/>
    </xf>
    <xf numFmtId="2" fontId="2" fillId="0" borderId="0" xfId="6" applyNumberFormat="1"/>
    <xf numFmtId="17" fontId="31" fillId="0" borderId="0" xfId="11" applyNumberFormat="1" applyFont="1" applyBorder="1" applyAlignment="1">
      <alignment horizontal="left"/>
    </xf>
    <xf numFmtId="192" fontId="2" fillId="0" borderId="0" xfId="6" applyNumberFormat="1"/>
    <xf numFmtId="0" fontId="14" fillId="0" borderId="0" xfId="6" applyNumberFormat="1" applyFont="1" applyAlignment="1">
      <alignment horizontal="left"/>
    </xf>
    <xf numFmtId="181" fontId="39" fillId="0" borderId="0" xfId="6" applyFont="1"/>
    <xf numFmtId="166" fontId="39" fillId="0" borderId="0" xfId="6" applyNumberFormat="1" applyFont="1"/>
    <xf numFmtId="1" fontId="39" fillId="0" borderId="0" xfId="6" applyNumberFormat="1" applyFont="1"/>
    <xf numFmtId="2" fontId="39" fillId="0" borderId="0" xfId="6" applyNumberFormat="1" applyFont="1"/>
    <xf numFmtId="181" fontId="39" fillId="0" borderId="0" xfId="6" applyFont="1" applyFill="1"/>
    <xf numFmtId="2" fontId="40" fillId="8" borderId="0" xfId="6" applyNumberFormat="1" applyFont="1" applyFill="1"/>
    <xf numFmtId="2" fontId="41" fillId="0" borderId="0" xfId="6" applyNumberFormat="1" applyFont="1" applyFill="1"/>
    <xf numFmtId="181" fontId="39" fillId="8" borderId="0" xfId="6" applyFont="1" applyFill="1"/>
    <xf numFmtId="166" fontId="24" fillId="0" borderId="29" xfId="9" applyNumberFormat="1" applyFont="1" applyFill="1" applyBorder="1" applyAlignment="1">
      <alignment horizontal="right"/>
    </xf>
    <xf numFmtId="166" fontId="42" fillId="0" borderId="29" xfId="9" applyNumberFormat="1" applyFont="1" applyFill="1" applyBorder="1" applyAlignment="1">
      <alignment horizontal="right"/>
    </xf>
    <xf numFmtId="181" fontId="25" fillId="0" borderId="0" xfId="6" applyFont="1" applyFill="1"/>
    <xf numFmtId="0" fontId="28" fillId="0" borderId="38" xfId="6" applyNumberFormat="1" applyFont="1" applyFill="1" applyBorder="1" applyAlignment="1">
      <alignment vertical="center"/>
    </xf>
    <xf numFmtId="1" fontId="38" fillId="0" borderId="45" xfId="6" applyNumberFormat="1" applyFont="1" applyFill="1" applyBorder="1" applyAlignment="1">
      <alignment horizontal="right" vertical="top"/>
    </xf>
    <xf numFmtId="0" fontId="39" fillId="0" borderId="0" xfId="6" applyNumberFormat="1" applyFont="1" applyFill="1"/>
    <xf numFmtId="188" fontId="38" fillId="0" borderId="45" xfId="6" applyNumberFormat="1" applyFont="1" applyFill="1" applyBorder="1" applyAlignment="1">
      <alignment horizontal="right" vertical="top"/>
    </xf>
    <xf numFmtId="194" fontId="38" fillId="0" borderId="46" xfId="6" applyNumberFormat="1" applyFont="1" applyFill="1" applyBorder="1" applyAlignment="1">
      <alignment horizontal="right" vertical="top"/>
    </xf>
    <xf numFmtId="164" fontId="38" fillId="0" borderId="46" xfId="6" applyNumberFormat="1" applyFont="1" applyFill="1" applyBorder="1" applyAlignment="1">
      <alignment horizontal="right" vertical="top"/>
    </xf>
    <xf numFmtId="164" fontId="38" fillId="0" borderId="45" xfId="6" applyNumberFormat="1" applyFont="1" applyFill="1" applyBorder="1" applyAlignment="1">
      <alignment horizontal="right" vertical="top"/>
    </xf>
    <xf numFmtId="194" fontId="38" fillId="0" borderId="0" xfId="6" applyNumberFormat="1" applyFont="1" applyFill="1" applyBorder="1" applyAlignment="1">
      <alignment horizontal="right" vertical="top"/>
    </xf>
    <xf numFmtId="0" fontId="24" fillId="0" borderId="0" xfId="6" applyNumberFormat="1" applyFont="1" applyFill="1" applyAlignment="1">
      <alignment horizontal="left" wrapText="1"/>
    </xf>
    <xf numFmtId="188" fontId="38" fillId="0" borderId="0" xfId="6" applyNumberFormat="1" applyFont="1" applyFill="1" applyBorder="1" applyAlignment="1">
      <alignment horizontal="right" vertical="top"/>
    </xf>
    <xf numFmtId="196" fontId="39" fillId="0" borderId="0" xfId="6" applyNumberFormat="1" applyFont="1" applyFill="1"/>
    <xf numFmtId="192" fontId="39" fillId="0" borderId="0" xfId="6" applyNumberFormat="1" applyFont="1" applyFill="1"/>
    <xf numFmtId="0" fontId="29" fillId="0" borderId="0" xfId="0" applyNumberFormat="1" applyFont="1" applyFill="1" applyBorder="1" applyAlignment="1"/>
    <xf numFmtId="0" fontId="46" fillId="2" borderId="0" xfId="0" applyFont="1" applyFill="1" applyAlignment="1">
      <alignment vertical="center"/>
    </xf>
    <xf numFmtId="197" fontId="17" fillId="0" borderId="47" xfId="0" applyNumberFormat="1" applyFont="1" applyFill="1" applyBorder="1" applyAlignment="1">
      <alignment horizontal="left"/>
    </xf>
    <xf numFmtId="197" fontId="17" fillId="0" borderId="47" xfId="0" applyNumberFormat="1" applyFont="1" applyFill="1" applyBorder="1" applyAlignment="1">
      <alignment horizontal="center"/>
    </xf>
    <xf numFmtId="1" fontId="17" fillId="0" borderId="47" xfId="0" applyNumberFormat="1" applyFont="1" applyFill="1" applyBorder="1" applyAlignment="1">
      <alignment horizontal="center"/>
    </xf>
    <xf numFmtId="0" fontId="47" fillId="2" borderId="0" xfId="0" applyFont="1" applyFill="1" applyAlignment="1">
      <alignment vertical="center"/>
    </xf>
    <xf numFmtId="0" fontId="17" fillId="0" borderId="0" xfId="0" applyNumberFormat="1" applyFont="1" applyFill="1" applyBorder="1" applyAlignment="1"/>
    <xf numFmtId="49" fontId="49" fillId="2" borderId="1" xfId="0" applyNumberFormat="1" applyFont="1" applyFill="1" applyBorder="1" applyAlignment="1">
      <alignment horizontal="center" vertical="center" wrapText="1"/>
    </xf>
    <xf numFmtId="0" fontId="51" fillId="2" borderId="0" xfId="0" applyFont="1" applyFill="1" applyAlignment="1">
      <alignment vertical="center"/>
    </xf>
    <xf numFmtId="0" fontId="51" fillId="2" borderId="1" xfId="0" applyFont="1" applyFill="1" applyBorder="1" applyAlignment="1">
      <alignment horizontal="right"/>
    </xf>
    <xf numFmtId="0" fontId="50" fillId="0" borderId="47" xfId="0" applyFont="1" applyFill="1" applyBorder="1" applyAlignment="1"/>
    <xf numFmtId="166" fontId="17" fillId="0" borderId="47" xfId="0" applyNumberFormat="1" applyFont="1" applyFill="1" applyBorder="1" applyAlignment="1"/>
    <xf numFmtId="177" fontId="17" fillId="0" borderId="47" xfId="0" applyNumberFormat="1" applyFont="1" applyFill="1" applyBorder="1" applyAlignment="1"/>
    <xf numFmtId="188" fontId="17" fillId="0" borderId="47" xfId="14" applyNumberFormat="1" applyFont="1" applyFill="1" applyBorder="1" applyAlignment="1"/>
    <xf numFmtId="170" fontId="47" fillId="2" borderId="1" xfId="0" applyNumberFormat="1" applyFont="1" applyFill="1" applyBorder="1" applyAlignment="1">
      <alignment horizontal="right"/>
    </xf>
    <xf numFmtId="49" fontId="28" fillId="0" borderId="0" xfId="6" applyNumberFormat="1" applyFont="1" applyFill="1" applyBorder="1" applyAlignment="1">
      <alignment vertical="center"/>
    </xf>
    <xf numFmtId="49" fontId="28" fillId="0" borderId="23" xfId="6" applyNumberFormat="1" applyFont="1" applyFill="1" applyBorder="1" applyAlignment="1">
      <alignment vertical="center"/>
    </xf>
    <xf numFmtId="49" fontId="28" fillId="4" borderId="0" xfId="6" applyNumberFormat="1" applyFont="1" applyFill="1" applyBorder="1" applyAlignment="1">
      <alignment horizontal="left" vertical="center"/>
    </xf>
    <xf numFmtId="49" fontId="28" fillId="0" borderId="38" xfId="6" applyNumberFormat="1" applyFont="1" applyFill="1" applyBorder="1" applyAlignment="1">
      <alignment vertical="center"/>
    </xf>
    <xf numFmtId="0" fontId="52" fillId="0" borderId="47"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17" fillId="0" borderId="47" xfId="0" applyFont="1" applyFill="1" applyBorder="1" applyAlignment="1">
      <alignment horizontal="left" vertical="center" wrapText="1"/>
    </xf>
    <xf numFmtId="15" fontId="14" fillId="0" borderId="47" xfId="0" applyNumberFormat="1" applyFont="1" applyBorder="1" applyAlignment="1">
      <alignment horizontal="right" vertical="center"/>
    </xf>
    <xf numFmtId="3" fontId="14" fillId="0" borderId="47" xfId="0" applyNumberFormat="1" applyFont="1" applyFill="1" applyBorder="1" applyAlignment="1">
      <alignment horizontal="right" vertical="center"/>
    </xf>
    <xf numFmtId="0" fontId="14" fillId="0" borderId="47" xfId="0" applyFont="1" applyFill="1" applyBorder="1" applyAlignment="1">
      <alignment horizontal="right" vertical="center"/>
    </xf>
    <xf numFmtId="166" fontId="14" fillId="0" borderId="47" xfId="0" applyNumberFormat="1" applyFont="1" applyFill="1" applyBorder="1" applyAlignment="1">
      <alignment horizontal="right" vertical="center"/>
    </xf>
    <xf numFmtId="1" fontId="14" fillId="0" borderId="47" xfId="0" applyNumberFormat="1" applyFont="1" applyFill="1" applyBorder="1" applyAlignment="1">
      <alignment horizontal="right" vertical="center"/>
    </xf>
    <xf numFmtId="181" fontId="29" fillId="0" borderId="0" xfId="6" applyFont="1" applyBorder="1" applyAlignment="1">
      <alignment vertical="top"/>
    </xf>
    <xf numFmtId="181" fontId="29" fillId="0" borderId="0" xfId="6" applyFont="1" applyAlignment="1">
      <alignment vertical="top"/>
    </xf>
    <xf numFmtId="49" fontId="44" fillId="2" borderId="1" xfId="0" applyNumberFormat="1" applyFont="1" applyFill="1" applyBorder="1" applyAlignment="1">
      <alignment horizontal="center" vertical="center" wrapText="1"/>
    </xf>
    <xf numFmtId="49" fontId="45" fillId="2" borderId="0" xfId="0" applyNumberFormat="1" applyFont="1" applyFill="1" applyAlignment="1"/>
    <xf numFmtId="49" fontId="51" fillId="2" borderId="1" xfId="0" applyNumberFormat="1" applyFont="1" applyFill="1" applyBorder="1" applyAlignment="1">
      <alignment horizontal="left"/>
    </xf>
    <xf numFmtId="165" fontId="51" fillId="2" borderId="1" xfId="0" applyNumberFormat="1" applyFont="1" applyFill="1" applyBorder="1" applyAlignment="1">
      <alignment horizontal="right"/>
    </xf>
    <xf numFmtId="168" fontId="51" fillId="2" borderId="1" xfId="0" applyNumberFormat="1" applyFont="1" applyFill="1" applyBorder="1" applyAlignment="1">
      <alignment horizontal="right"/>
    </xf>
    <xf numFmtId="49" fontId="49" fillId="2" borderId="0" xfId="0" applyNumberFormat="1" applyFont="1" applyFill="1" applyAlignment="1"/>
    <xf numFmtId="49" fontId="49" fillId="2" borderId="1" xfId="0" applyNumberFormat="1" applyFont="1" applyFill="1" applyBorder="1" applyAlignment="1">
      <alignment horizontal="center" vertical="center"/>
    </xf>
    <xf numFmtId="49" fontId="49" fillId="2" borderId="1" xfId="0" applyNumberFormat="1" applyFont="1" applyFill="1" applyBorder="1" applyAlignment="1">
      <alignment horizontal="center" wrapText="1"/>
    </xf>
    <xf numFmtId="3" fontId="47" fillId="2" borderId="1" xfId="0" applyNumberFormat="1" applyFont="1" applyFill="1" applyBorder="1" applyAlignment="1">
      <alignment horizontal="right"/>
    </xf>
    <xf numFmtId="3" fontId="51" fillId="2" borderId="1" xfId="0" applyNumberFormat="1" applyFont="1" applyFill="1" applyBorder="1" applyAlignment="1">
      <alignment horizontal="right"/>
    </xf>
    <xf numFmtId="49" fontId="47" fillId="2" borderId="1" xfId="0" applyNumberFormat="1" applyFont="1" applyFill="1" applyBorder="1" applyAlignment="1">
      <alignment horizontal="left" vertical="center"/>
    </xf>
    <xf numFmtId="49" fontId="51" fillId="2" borderId="1" xfId="0" applyNumberFormat="1" applyFont="1" applyFill="1" applyBorder="1" applyAlignment="1">
      <alignment horizontal="left" vertical="center"/>
    </xf>
    <xf numFmtId="169" fontId="51" fillId="2" borderId="1" xfId="0" applyNumberFormat="1" applyFont="1" applyFill="1" applyBorder="1" applyAlignment="1">
      <alignment horizontal="right"/>
    </xf>
    <xf numFmtId="170" fontId="51" fillId="2" borderId="1" xfId="0" applyNumberFormat="1" applyFont="1" applyFill="1" applyBorder="1" applyAlignment="1">
      <alignment horizontal="right"/>
    </xf>
    <xf numFmtId="49" fontId="49" fillId="2" borderId="1" xfId="0" applyNumberFormat="1" applyFont="1" applyFill="1" applyBorder="1" applyAlignment="1">
      <alignment horizontal="left"/>
    </xf>
    <xf numFmtId="49" fontId="49" fillId="2" borderId="1" xfId="0" applyNumberFormat="1" applyFont="1" applyFill="1" applyBorder="1" applyAlignment="1">
      <alignment horizontal="center"/>
    </xf>
    <xf numFmtId="49" fontId="49" fillId="2" borderId="1" xfId="0" applyNumberFormat="1" applyFont="1" applyFill="1" applyBorder="1" applyAlignment="1">
      <alignment horizontal="right"/>
    </xf>
    <xf numFmtId="171" fontId="51" fillId="2" borderId="1" xfId="0" applyNumberFormat="1" applyFont="1" applyFill="1" applyBorder="1" applyAlignment="1">
      <alignment horizontal="right"/>
    </xf>
    <xf numFmtId="172" fontId="51" fillId="2" borderId="1" xfId="0" applyNumberFormat="1" applyFont="1" applyFill="1" applyBorder="1" applyAlignment="1">
      <alignment horizontal="right"/>
    </xf>
    <xf numFmtId="1" fontId="49" fillId="2" borderId="1" xfId="0" applyNumberFormat="1" applyFont="1" applyFill="1" applyBorder="1" applyAlignment="1">
      <alignment horizontal="right"/>
    </xf>
    <xf numFmtId="0" fontId="49" fillId="2" borderId="1" xfId="0" applyFont="1" applyFill="1" applyBorder="1" applyAlignment="1">
      <alignment horizontal="right"/>
    </xf>
    <xf numFmtId="169" fontId="49" fillId="2" borderId="1" xfId="0" applyNumberFormat="1" applyFont="1" applyFill="1" applyBorder="1" applyAlignment="1">
      <alignment horizontal="right"/>
    </xf>
    <xf numFmtId="181" fontId="52" fillId="6" borderId="51" xfId="17" applyFont="1" applyFill="1" applyBorder="1" applyAlignment="1">
      <alignment horizontal="center" vertical="center" wrapText="1"/>
    </xf>
    <xf numFmtId="2" fontId="52" fillId="6" borderId="51" xfId="17" applyNumberFormat="1" applyFont="1" applyFill="1" applyBorder="1" applyAlignment="1">
      <alignment horizontal="center" vertical="center" wrapText="1"/>
    </xf>
    <xf numFmtId="198" fontId="52" fillId="6" borderId="51" xfId="17" applyNumberFormat="1" applyFont="1" applyFill="1" applyBorder="1" applyAlignment="1">
      <alignment horizontal="center" vertical="center" wrapText="1"/>
    </xf>
    <xf numFmtId="173" fontId="51" fillId="2" borderId="1" xfId="0" applyNumberFormat="1" applyFont="1" applyFill="1" applyBorder="1" applyAlignment="1">
      <alignment horizontal="right"/>
    </xf>
    <xf numFmtId="167" fontId="51" fillId="2" borderId="1" xfId="0" applyNumberFormat="1" applyFont="1" applyFill="1" applyBorder="1" applyAlignment="1">
      <alignment horizontal="right"/>
    </xf>
    <xf numFmtId="174" fontId="51" fillId="2" borderId="1" xfId="0" applyNumberFormat="1" applyFont="1" applyFill="1" applyBorder="1" applyAlignment="1">
      <alignment horizontal="right"/>
    </xf>
    <xf numFmtId="49" fontId="45" fillId="2" borderId="0" xfId="0" applyNumberFormat="1" applyFont="1" applyFill="1" applyAlignment="1">
      <alignment horizontal="left"/>
    </xf>
    <xf numFmtId="49" fontId="45" fillId="2" borderId="0" xfId="0" applyNumberFormat="1" applyFont="1" applyFill="1" applyAlignment="1">
      <alignment horizontal="left" wrapText="1"/>
    </xf>
    <xf numFmtId="176" fontId="47" fillId="2" borderId="1" xfId="0" applyNumberFormat="1" applyFont="1" applyFill="1" applyBorder="1" applyAlignment="1">
      <alignment horizontal="right"/>
    </xf>
    <xf numFmtId="0" fontId="29" fillId="0" borderId="0" xfId="0" applyFont="1"/>
    <xf numFmtId="0" fontId="14" fillId="0" borderId="0" xfId="0" applyFont="1"/>
    <xf numFmtId="2" fontId="14" fillId="0" borderId="0" xfId="0" applyNumberFormat="1" applyFont="1"/>
    <xf numFmtId="2" fontId="14" fillId="0" borderId="0" xfId="0" quotePrefix="1" applyNumberFormat="1" applyFont="1"/>
    <xf numFmtId="0" fontId="17" fillId="0" borderId="0" xfId="0" applyFont="1"/>
    <xf numFmtId="0" fontId="15" fillId="8" borderId="0" xfId="0" applyFont="1" applyFill="1"/>
    <xf numFmtId="49" fontId="49" fillId="2" borderId="49" xfId="0" applyNumberFormat="1" applyFont="1" applyFill="1" applyBorder="1" applyAlignment="1">
      <alignment horizontal="center" vertical="center"/>
    </xf>
    <xf numFmtId="49" fontId="49" fillId="2" borderId="48" xfId="0" applyNumberFormat="1" applyFont="1" applyFill="1" applyBorder="1" applyAlignment="1">
      <alignment horizontal="center"/>
    </xf>
    <xf numFmtId="49" fontId="49" fillId="2" borderId="9" xfId="0" applyNumberFormat="1" applyFont="1" applyFill="1" applyBorder="1" applyAlignment="1">
      <alignment horizontal="center" vertical="center"/>
    </xf>
    <xf numFmtId="165" fontId="51" fillId="2" borderId="50" xfId="0" applyNumberFormat="1" applyFont="1" applyFill="1" applyBorder="1" applyAlignment="1">
      <alignment horizontal="right"/>
    </xf>
    <xf numFmtId="49" fontId="49" fillId="2" borderId="0" xfId="0" applyNumberFormat="1" applyFont="1" applyFill="1" applyAlignment="1">
      <alignment horizontal="left" vertical="top"/>
    </xf>
    <xf numFmtId="183" fontId="47" fillId="2" borderId="1" xfId="0" applyNumberFormat="1" applyFont="1" applyFill="1" applyBorder="1" applyAlignment="1">
      <alignment horizontal="left" vertical="center"/>
    </xf>
    <xf numFmtId="0" fontId="48" fillId="2" borderId="0" xfId="0" applyFont="1" applyFill="1" applyAlignment="1">
      <alignment vertical="center"/>
    </xf>
    <xf numFmtId="49" fontId="44" fillId="2" borderId="1" xfId="0" applyNumberFormat="1" applyFont="1" applyFill="1" applyBorder="1" applyAlignment="1">
      <alignment horizontal="left" vertical="center"/>
    </xf>
    <xf numFmtId="0" fontId="44" fillId="2" borderId="0" xfId="0" applyFont="1" applyFill="1" applyAlignment="1">
      <alignment vertical="center"/>
    </xf>
    <xf numFmtId="181" fontId="25" fillId="6" borderId="51" xfId="17" applyFont="1" applyFill="1" applyBorder="1" applyAlignment="1">
      <alignment horizontal="center" vertical="center" wrapText="1"/>
    </xf>
    <xf numFmtId="2" fontId="25" fillId="6" borderId="51" xfId="17" applyNumberFormat="1" applyFont="1" applyFill="1" applyBorder="1" applyAlignment="1">
      <alignment horizontal="center" vertical="center" wrapText="1"/>
    </xf>
    <xf numFmtId="198" fontId="25" fillId="6" borderId="51" xfId="17" applyNumberFormat="1" applyFont="1" applyFill="1" applyBorder="1" applyAlignment="1">
      <alignment horizontal="center" vertical="center" wrapText="1"/>
    </xf>
    <xf numFmtId="181" fontId="57" fillId="0" borderId="0" xfId="26" applyFont="1"/>
    <xf numFmtId="0" fontId="24" fillId="0" borderId="51" xfId="27" applyFont="1" applyBorder="1" applyAlignment="1">
      <alignment horizontal="center"/>
    </xf>
    <xf numFmtId="2" fontId="24" fillId="0" borderId="51" xfId="0" applyNumberFormat="1" applyFont="1" applyFill="1" applyBorder="1" applyAlignment="1">
      <alignment horizontal="right"/>
    </xf>
    <xf numFmtId="181" fontId="24" fillId="0" borderId="0" xfId="26" applyFont="1" applyFill="1" applyBorder="1" applyAlignment="1">
      <alignment vertical="top"/>
    </xf>
    <xf numFmtId="181" fontId="24" fillId="0" borderId="0" xfId="26" applyFont="1" applyBorder="1" applyAlignment="1">
      <alignment vertical="top"/>
    </xf>
    <xf numFmtId="181" fontId="24" fillId="0" borderId="0" xfId="26" applyFont="1" applyFill="1" applyAlignment="1">
      <alignment vertical="top"/>
    </xf>
    <xf numFmtId="181" fontId="24" fillId="0" borderId="0" xfId="26" applyFont="1" applyAlignment="1">
      <alignment vertical="top"/>
    </xf>
    <xf numFmtId="0" fontId="51" fillId="2" borderId="1" xfId="0" applyFont="1" applyFill="1" applyBorder="1" applyAlignment="1">
      <alignment horizontal="right" vertical="center"/>
    </xf>
    <xf numFmtId="165" fontId="51" fillId="2" borderId="1" xfId="0" applyNumberFormat="1" applyFont="1" applyFill="1" applyBorder="1" applyAlignment="1">
      <alignment horizontal="right" vertical="center"/>
    </xf>
    <xf numFmtId="168" fontId="51" fillId="2" borderId="1" xfId="0" applyNumberFormat="1" applyFont="1" applyFill="1" applyBorder="1" applyAlignment="1">
      <alignment horizontal="right" vertical="center"/>
    </xf>
    <xf numFmtId="0" fontId="51" fillId="2" borderId="1" xfId="0" applyFont="1" applyFill="1" applyBorder="1" applyAlignment="1">
      <alignment vertical="center"/>
    </xf>
    <xf numFmtId="0" fontId="17" fillId="0" borderId="47" xfId="0" applyFont="1" applyBorder="1" applyAlignment="1">
      <alignment vertical="center"/>
    </xf>
    <xf numFmtId="166" fontId="51" fillId="2" borderId="1" xfId="0" applyNumberFormat="1" applyFont="1" applyFill="1" applyBorder="1" applyAlignment="1">
      <alignment vertical="center"/>
    </xf>
    <xf numFmtId="166" fontId="17" fillId="0" borderId="47" xfId="0" applyNumberFormat="1" applyFont="1" applyBorder="1" applyAlignment="1">
      <alignment vertical="center"/>
    </xf>
    <xf numFmtId="49" fontId="49" fillId="2" borderId="1" xfId="0" applyNumberFormat="1" applyFont="1" applyFill="1" applyBorder="1" applyAlignment="1">
      <alignment horizontal="left" vertical="center"/>
    </xf>
    <xf numFmtId="183" fontId="51" fillId="2" borderId="1" xfId="0" applyNumberFormat="1" applyFont="1" applyFill="1" applyBorder="1" applyAlignment="1">
      <alignment horizontal="left" vertical="center"/>
    </xf>
    <xf numFmtId="1" fontId="17" fillId="0" borderId="47" xfId="0" applyNumberFormat="1" applyFont="1" applyBorder="1" applyAlignment="1">
      <alignment vertical="center"/>
    </xf>
    <xf numFmtId="183" fontId="47" fillId="2" borderId="0" xfId="0" applyNumberFormat="1" applyFont="1" applyFill="1" applyBorder="1" applyAlignment="1">
      <alignment horizontal="left" vertical="center"/>
    </xf>
    <xf numFmtId="0" fontId="51" fillId="2" borderId="0" xfId="0" applyFont="1" applyFill="1" applyBorder="1" applyAlignment="1">
      <alignment horizontal="right"/>
    </xf>
    <xf numFmtId="168" fontId="51" fillId="2" borderId="0" xfId="0" applyNumberFormat="1" applyFont="1" applyFill="1" applyBorder="1" applyAlignment="1">
      <alignment horizontal="right"/>
    </xf>
    <xf numFmtId="0" fontId="47" fillId="0" borderId="0" xfId="0" applyFont="1" applyFill="1" applyAlignment="1">
      <alignment vertical="center"/>
    </xf>
    <xf numFmtId="183" fontId="51" fillId="2" borderId="1" xfId="0" applyNumberFormat="1" applyFont="1" applyFill="1" applyBorder="1" applyAlignment="1">
      <alignment horizontal="left"/>
    </xf>
    <xf numFmtId="49" fontId="49" fillId="2" borderId="51" xfId="0" applyNumberFormat="1" applyFont="1" applyFill="1" applyBorder="1" applyAlignment="1">
      <alignment horizontal="center" vertical="center" wrapText="1"/>
    </xf>
    <xf numFmtId="0" fontId="50" fillId="0" borderId="51" xfId="0" applyNumberFormat="1" applyFont="1" applyFill="1" applyBorder="1" applyAlignment="1">
      <alignment vertical="center" wrapText="1"/>
    </xf>
    <xf numFmtId="0" fontId="50" fillId="0" borderId="51" xfId="0" applyNumberFormat="1" applyFont="1" applyFill="1" applyBorder="1" applyAlignment="1">
      <alignment horizontal="right" vertical="center" wrapText="1"/>
    </xf>
    <xf numFmtId="188" fontId="50" fillId="0" borderId="51" xfId="14" applyNumberFormat="1" applyFont="1" applyFill="1" applyBorder="1" applyAlignment="1">
      <alignment horizontal="right" vertical="center" wrapText="1"/>
    </xf>
    <xf numFmtId="49" fontId="49" fillId="2" borderId="51" xfId="0" applyNumberFormat="1" applyFont="1" applyFill="1" applyBorder="1" applyAlignment="1">
      <alignment horizontal="left"/>
    </xf>
    <xf numFmtId="165" fontId="49" fillId="2" borderId="51" xfId="0" applyNumberFormat="1" applyFont="1" applyFill="1" applyBorder="1" applyAlignment="1">
      <alignment horizontal="right"/>
    </xf>
    <xf numFmtId="188" fontId="49" fillId="2" borderId="51" xfId="14" applyNumberFormat="1" applyFont="1" applyFill="1" applyBorder="1" applyAlignment="1">
      <alignment horizontal="right"/>
    </xf>
    <xf numFmtId="0" fontId="49" fillId="2" borderId="0" xfId="0" applyFont="1" applyFill="1" applyAlignment="1">
      <alignment vertical="center"/>
    </xf>
    <xf numFmtId="0" fontId="36" fillId="0" borderId="0" xfId="0" applyNumberFormat="1" applyFont="1" applyFill="1" applyBorder="1" applyAlignment="1"/>
    <xf numFmtId="0" fontId="45" fillId="2" borderId="0" xfId="0" applyFont="1" applyFill="1" applyAlignment="1">
      <alignment vertical="center"/>
    </xf>
    <xf numFmtId="170" fontId="51" fillId="2" borderId="1" xfId="0" applyNumberFormat="1" applyFont="1" applyFill="1" applyBorder="1" applyAlignment="1">
      <alignment horizontal="right" vertical="center"/>
    </xf>
    <xf numFmtId="49" fontId="49" fillId="2" borderId="51" xfId="0" applyNumberFormat="1" applyFont="1" applyFill="1" applyBorder="1" applyAlignment="1">
      <alignment horizontal="left" vertical="center"/>
    </xf>
    <xf numFmtId="49" fontId="51" fillId="2" borderId="51" xfId="0" applyNumberFormat="1" applyFont="1" applyFill="1" applyBorder="1" applyAlignment="1">
      <alignment horizontal="left" vertical="center"/>
    </xf>
    <xf numFmtId="183" fontId="51" fillId="2" borderId="51" xfId="0" applyNumberFormat="1" applyFont="1" applyFill="1" applyBorder="1" applyAlignment="1">
      <alignment horizontal="left" vertical="center"/>
    </xf>
    <xf numFmtId="165" fontId="51" fillId="2" borderId="51" xfId="0" applyNumberFormat="1" applyFont="1" applyFill="1" applyBorder="1" applyAlignment="1">
      <alignment horizontal="right" vertical="center"/>
    </xf>
    <xf numFmtId="170" fontId="51" fillId="2" borderId="51" xfId="0" applyNumberFormat="1" applyFont="1" applyFill="1" applyBorder="1" applyAlignment="1">
      <alignment horizontal="right" vertical="center"/>
    </xf>
    <xf numFmtId="3" fontId="51" fillId="2" borderId="51" xfId="0" applyNumberFormat="1" applyFont="1" applyFill="1" applyBorder="1" applyAlignment="1">
      <alignment horizontal="right" vertical="center"/>
    </xf>
    <xf numFmtId="170" fontId="51" fillId="2" borderId="51" xfId="0" applyNumberFormat="1" applyFont="1" applyFill="1" applyBorder="1" applyAlignment="1">
      <alignment vertical="center"/>
    </xf>
    <xf numFmtId="49" fontId="49" fillId="2" borderId="0" xfId="0" applyNumberFormat="1" applyFont="1" applyFill="1" applyAlignment="1">
      <alignment horizontal="left" vertical="top" wrapText="1"/>
    </xf>
    <xf numFmtId="49" fontId="49" fillId="2" borderId="47" xfId="0" applyNumberFormat="1" applyFont="1" applyFill="1" applyBorder="1" applyAlignment="1">
      <alignment horizontal="center" vertical="center"/>
    </xf>
    <xf numFmtId="49" fontId="49" fillId="2" borderId="47" xfId="0" applyNumberFormat="1" applyFont="1" applyFill="1" applyBorder="1" applyAlignment="1">
      <alignment horizontal="left"/>
    </xf>
    <xf numFmtId="170" fontId="51" fillId="2" borderId="47" xfId="0" applyNumberFormat="1" applyFont="1" applyFill="1" applyBorder="1" applyAlignment="1">
      <alignment horizontal="right"/>
    </xf>
    <xf numFmtId="165" fontId="51" fillId="2" borderId="47" xfId="0" applyNumberFormat="1" applyFont="1" applyFill="1" applyBorder="1" applyAlignment="1">
      <alignment horizontal="right"/>
    </xf>
    <xf numFmtId="183" fontId="49" fillId="2" borderId="47" xfId="0" applyNumberFormat="1" applyFont="1" applyFill="1" applyBorder="1" applyAlignment="1">
      <alignment horizontal="center" vertical="center"/>
    </xf>
    <xf numFmtId="181" fontId="29" fillId="0" borderId="0" xfId="15" applyFont="1" applyFill="1"/>
    <xf numFmtId="181" fontId="29" fillId="0" borderId="0" xfId="26" applyFont="1" applyFill="1"/>
    <xf numFmtId="2" fontId="39" fillId="0" borderId="0" xfId="0" applyNumberFormat="1" applyFont="1" applyFill="1" applyBorder="1" applyAlignment="1">
      <alignment horizontal="center"/>
    </xf>
    <xf numFmtId="171" fontId="51" fillId="2" borderId="1" xfId="0" applyNumberFormat="1" applyFont="1" applyFill="1" applyBorder="1" applyAlignment="1">
      <alignment horizontal="right" vertical="center"/>
    </xf>
    <xf numFmtId="181" fontId="24" fillId="0" borderId="0" xfId="15" applyFont="1" applyFill="1" applyAlignment="1">
      <alignment vertical="center"/>
    </xf>
    <xf numFmtId="49" fontId="49" fillId="2" borderId="0" xfId="0" applyNumberFormat="1" applyFont="1" applyFill="1" applyAlignment="1">
      <alignment vertical="center"/>
    </xf>
    <xf numFmtId="0" fontId="17" fillId="0" borderId="0" xfId="0" applyNumberFormat="1" applyFont="1" applyFill="1" applyBorder="1" applyAlignment="1">
      <alignment vertical="center"/>
    </xf>
    <xf numFmtId="49" fontId="49" fillId="2" borderId="0" xfId="0" applyNumberFormat="1" applyFont="1" applyFill="1" applyAlignment="1">
      <alignment horizontal="left"/>
    </xf>
    <xf numFmtId="0" fontId="24" fillId="0" borderId="0" xfId="0" applyFont="1"/>
    <xf numFmtId="3" fontId="24" fillId="0" borderId="0" xfId="0" applyNumberFormat="1" applyFont="1"/>
    <xf numFmtId="49" fontId="13" fillId="0" borderId="0" xfId="0" applyNumberFormat="1" applyFont="1"/>
    <xf numFmtId="0" fontId="13" fillId="0" borderId="0" xfId="0" applyFont="1"/>
    <xf numFmtId="3" fontId="13" fillId="0" borderId="0" xfId="0" applyNumberFormat="1" applyFont="1"/>
    <xf numFmtId="0" fontId="24" fillId="0" borderId="0" xfId="0" applyNumberFormat="1" applyFont="1"/>
    <xf numFmtId="0" fontId="32" fillId="0" borderId="0" xfId="0" applyFont="1"/>
    <xf numFmtId="0" fontId="30" fillId="0" borderId="0" xfId="0" applyNumberFormat="1" applyFont="1"/>
    <xf numFmtId="0" fontId="33" fillId="0" borderId="0" xfId="0" applyNumberFormat="1" applyFont="1"/>
    <xf numFmtId="182" fontId="24" fillId="0" borderId="0" xfId="0" applyNumberFormat="1" applyFont="1"/>
    <xf numFmtId="183" fontId="29" fillId="0" borderId="0" xfId="0" applyNumberFormat="1" applyFont="1" applyFill="1" applyBorder="1" applyAlignment="1">
      <alignment horizontal="left"/>
    </xf>
    <xf numFmtId="0" fontId="25" fillId="0" borderId="0" xfId="0" applyNumberFormat="1" applyFont="1" applyBorder="1" applyAlignment="1">
      <alignment vertical="center" wrapText="1"/>
    </xf>
    <xf numFmtId="185" fontId="25" fillId="0" borderId="0" xfId="0" applyNumberFormat="1" applyFont="1"/>
    <xf numFmtId="192" fontId="24" fillId="0" borderId="0" xfId="0" applyNumberFormat="1" applyFont="1"/>
    <xf numFmtId="0" fontId="30" fillId="0" borderId="0" xfId="0" applyFont="1"/>
    <xf numFmtId="188" fontId="24" fillId="0" borderId="0" xfId="0" applyNumberFormat="1" applyFont="1"/>
    <xf numFmtId="1" fontId="24" fillId="0" borderId="0" xfId="0" applyNumberFormat="1" applyFont="1"/>
    <xf numFmtId="166" fontId="24" fillId="0" borderId="0" xfId="0" applyNumberFormat="1" applyFont="1"/>
    <xf numFmtId="2" fontId="24" fillId="0" borderId="0" xfId="0" applyNumberFormat="1" applyFont="1"/>
    <xf numFmtId="2" fontId="0" fillId="0" borderId="0" xfId="0" applyNumberFormat="1"/>
    <xf numFmtId="3" fontId="15" fillId="0" borderId="0" xfId="0" applyNumberFormat="1" applyFont="1" applyBorder="1" applyAlignment="1">
      <alignment vertical="center" wrapText="1"/>
    </xf>
    <xf numFmtId="1" fontId="24" fillId="0" borderId="0" xfId="0" applyNumberFormat="1" applyFont="1" applyFill="1"/>
    <xf numFmtId="0" fontId="24" fillId="0" borderId="0" xfId="0" applyNumberFormat="1" applyFont="1" applyFill="1"/>
    <xf numFmtId="166" fontId="24" fillId="0" borderId="51" xfId="10" applyNumberFormat="1" applyFont="1" applyFill="1" applyBorder="1" applyAlignment="1">
      <alignment horizontal="right"/>
    </xf>
    <xf numFmtId="0" fontId="39" fillId="0" borderId="0" xfId="0" applyFont="1"/>
    <xf numFmtId="0" fontId="39" fillId="0" borderId="0" xfId="0" applyFont="1" applyFill="1"/>
    <xf numFmtId="49" fontId="49" fillId="0" borderId="1" xfId="0" applyNumberFormat="1" applyFont="1" applyFill="1" applyBorder="1" applyAlignment="1">
      <alignment horizontal="center" vertical="center" wrapText="1"/>
    </xf>
    <xf numFmtId="49" fontId="49" fillId="0" borderId="1" xfId="0" applyNumberFormat="1" applyFont="1" applyFill="1" applyBorder="1" applyAlignment="1">
      <alignment horizontal="left" vertical="center"/>
    </xf>
    <xf numFmtId="0" fontId="51" fillId="0" borderId="1" xfId="0" applyFont="1" applyFill="1" applyBorder="1" applyAlignment="1">
      <alignment horizontal="right"/>
    </xf>
    <xf numFmtId="168" fontId="51" fillId="0" borderId="1" xfId="0" applyNumberFormat="1" applyFont="1" applyFill="1" applyBorder="1" applyAlignment="1">
      <alignment horizontal="right"/>
    </xf>
    <xf numFmtId="177" fontId="51" fillId="0" borderId="1" xfId="0" applyNumberFormat="1" applyFont="1" applyFill="1" applyBorder="1" applyAlignment="1">
      <alignment horizontal="right"/>
    </xf>
    <xf numFmtId="49" fontId="51" fillId="0" borderId="1" xfId="0" applyNumberFormat="1" applyFont="1" applyFill="1" applyBorder="1" applyAlignment="1">
      <alignment horizontal="left" vertical="center"/>
    </xf>
    <xf numFmtId="183" fontId="51" fillId="0" borderId="1" xfId="0" applyNumberFormat="1" applyFont="1" applyFill="1" applyBorder="1" applyAlignment="1">
      <alignment horizontal="left" vertical="center"/>
    </xf>
    <xf numFmtId="1" fontId="51" fillId="2" borderId="1" xfId="0" applyNumberFormat="1" applyFont="1" applyFill="1" applyBorder="1" applyAlignment="1">
      <alignment horizontal="right"/>
    </xf>
    <xf numFmtId="3" fontId="51" fillId="2" borderId="1" xfId="0" applyNumberFormat="1" applyFont="1" applyFill="1" applyBorder="1" applyAlignment="1">
      <alignment horizontal="right" vertical="center"/>
    </xf>
    <xf numFmtId="183" fontId="52" fillId="0" borderId="18" xfId="24" applyNumberFormat="1" applyFont="1" applyFill="1" applyBorder="1" applyAlignment="1">
      <alignment horizontal="left"/>
    </xf>
    <xf numFmtId="3" fontId="52" fillId="0" borderId="47" xfId="0" quotePrefix="1" applyNumberFormat="1" applyFont="1" applyFill="1" applyBorder="1" applyAlignment="1">
      <alignment horizontal="right"/>
    </xf>
    <xf numFmtId="182" fontId="52" fillId="0" borderId="47" xfId="3" applyNumberFormat="1" applyFont="1" applyFill="1" applyBorder="1">
      <alignment horizontal="right"/>
    </xf>
    <xf numFmtId="193" fontId="52" fillId="0" borderId="47" xfId="3" applyNumberFormat="1" applyFont="1" applyFill="1" applyBorder="1">
      <alignment horizontal="right"/>
    </xf>
    <xf numFmtId="183" fontId="17" fillId="0" borderId="47" xfId="0" applyNumberFormat="1" applyFont="1" applyFill="1" applyBorder="1" applyAlignment="1">
      <alignment horizontal="left"/>
    </xf>
    <xf numFmtId="3" fontId="17" fillId="0" borderId="47" xfId="0" quotePrefix="1" applyNumberFormat="1" applyFont="1" applyFill="1" applyBorder="1" applyAlignment="1">
      <alignment horizontal="right"/>
    </xf>
    <xf numFmtId="1" fontId="17" fillId="0" borderId="47" xfId="16" applyNumberFormat="1" applyFont="1" applyFill="1" applyBorder="1" applyAlignment="1">
      <alignment horizontal="right" vertical="top" wrapText="1"/>
    </xf>
    <xf numFmtId="3" fontId="17" fillId="0" borderId="47" xfId="16" applyNumberFormat="1" applyFont="1" applyFill="1" applyBorder="1" applyAlignment="1">
      <alignment horizontal="right" vertical="top" wrapText="1"/>
    </xf>
    <xf numFmtId="182" fontId="17" fillId="0" borderId="47" xfId="3" applyNumberFormat="1" applyFont="1" applyFill="1" applyBorder="1">
      <alignment horizontal="right"/>
    </xf>
    <xf numFmtId="1" fontId="17" fillId="0" borderId="47" xfId="3" applyNumberFormat="1" applyFont="1" applyFill="1" applyBorder="1">
      <alignment horizontal="right"/>
    </xf>
    <xf numFmtId="193" fontId="17" fillId="0" borderId="47" xfId="0" quotePrefix="1" applyNumberFormat="1" applyFont="1" applyFill="1" applyBorder="1" applyAlignment="1">
      <alignment horizontal="right"/>
    </xf>
    <xf numFmtId="3" fontId="17" fillId="0" borderId="47" xfId="0" applyNumberFormat="1" applyFont="1" applyFill="1" applyBorder="1" applyAlignment="1">
      <alignment horizontal="right"/>
    </xf>
    <xf numFmtId="193" fontId="17" fillId="0" borderId="47" xfId="13" applyNumberFormat="1" applyFont="1" applyFill="1" applyBorder="1" applyAlignment="1">
      <alignment vertical="top"/>
    </xf>
    <xf numFmtId="0" fontId="29" fillId="0" borderId="51" xfId="0" applyFont="1" applyFill="1" applyBorder="1"/>
    <xf numFmtId="172" fontId="51" fillId="2" borderId="1" xfId="0" applyNumberFormat="1" applyFont="1" applyFill="1" applyBorder="1" applyAlignment="1">
      <alignment horizontal="right" vertical="center"/>
    </xf>
    <xf numFmtId="166" fontId="51" fillId="2" borderId="1" xfId="0" applyNumberFormat="1" applyFont="1" applyFill="1" applyBorder="1" applyAlignment="1">
      <alignment horizontal="right" vertical="center"/>
    </xf>
    <xf numFmtId="1" fontId="51" fillId="2" borderId="1" xfId="0" applyNumberFormat="1" applyFont="1" applyFill="1" applyBorder="1" applyAlignment="1">
      <alignment horizontal="right" vertical="center"/>
    </xf>
    <xf numFmtId="199" fontId="51" fillId="2" borderId="1" xfId="0" applyNumberFormat="1" applyFont="1" applyFill="1" applyBorder="1" applyAlignment="1">
      <alignment horizontal="right" vertical="center" wrapText="1"/>
    </xf>
    <xf numFmtId="178" fontId="51" fillId="2" borderId="1" xfId="0" applyNumberFormat="1" applyFont="1" applyFill="1" applyBorder="1" applyAlignment="1">
      <alignment horizontal="right" vertical="center" wrapText="1"/>
    </xf>
    <xf numFmtId="166" fontId="51" fillId="2" borderId="1" xfId="0" applyNumberFormat="1" applyFont="1" applyFill="1" applyBorder="1" applyAlignment="1">
      <alignment horizontal="right" vertical="center" wrapText="1"/>
    </xf>
    <xf numFmtId="0" fontId="49" fillId="2" borderId="1" xfId="0" applyFont="1" applyFill="1" applyBorder="1" applyAlignment="1">
      <alignment horizontal="center" vertical="center" wrapText="1"/>
    </xf>
    <xf numFmtId="179" fontId="51" fillId="2" borderId="1" xfId="0" applyNumberFormat="1" applyFont="1" applyFill="1" applyBorder="1" applyAlignment="1">
      <alignment horizontal="right"/>
    </xf>
    <xf numFmtId="178" fontId="51" fillId="2" borderId="1" xfId="0" applyNumberFormat="1" applyFont="1" applyFill="1" applyBorder="1" applyAlignment="1">
      <alignment horizontal="right"/>
    </xf>
    <xf numFmtId="183" fontId="49" fillId="2" borderId="1" xfId="0" applyNumberFormat="1" applyFont="1" applyFill="1" applyBorder="1" applyAlignment="1">
      <alignment horizontal="left" vertical="center"/>
    </xf>
    <xf numFmtId="178" fontId="51" fillId="2" borderId="1" xfId="0" applyNumberFormat="1" applyFont="1" applyFill="1" applyBorder="1" applyAlignment="1">
      <alignment horizontal="right" vertical="center"/>
    </xf>
    <xf numFmtId="178" fontId="49" fillId="2" borderId="1" xfId="0" applyNumberFormat="1" applyFont="1" applyFill="1" applyBorder="1" applyAlignment="1">
      <alignment horizontal="right" vertical="center"/>
    </xf>
    <xf numFmtId="180" fontId="49" fillId="2" borderId="1" xfId="0" applyNumberFormat="1" applyFont="1" applyFill="1" applyBorder="1" applyAlignment="1">
      <alignment horizontal="right" vertical="center"/>
    </xf>
    <xf numFmtId="200" fontId="49" fillId="2" borderId="1" xfId="0" applyNumberFormat="1" applyFont="1" applyFill="1" applyBorder="1" applyAlignment="1">
      <alignment horizontal="right" vertical="center"/>
    </xf>
    <xf numFmtId="166" fontId="52" fillId="0" borderId="51" xfId="6" applyNumberFormat="1" applyFont="1" applyBorder="1" applyAlignment="1">
      <alignment horizontal="right" vertical="center"/>
    </xf>
    <xf numFmtId="1" fontId="52" fillId="0" borderId="51" xfId="6" applyNumberFormat="1" applyFont="1" applyBorder="1" applyAlignment="1">
      <alignment horizontal="right" vertical="center"/>
    </xf>
    <xf numFmtId="166" fontId="17" fillId="0" borderId="51" xfId="15" applyNumberFormat="1" applyFont="1" applyBorder="1" applyAlignment="1">
      <alignment horizontal="right" vertical="center"/>
    </xf>
    <xf numFmtId="166" fontId="17" fillId="0" borderId="51" xfId="21" applyNumberFormat="1" applyFont="1" applyFill="1" applyBorder="1" applyAlignment="1">
      <alignment vertical="center"/>
    </xf>
    <xf numFmtId="166" fontId="14" fillId="0" borderId="51" xfId="21" applyNumberFormat="1" applyFont="1" applyFill="1" applyBorder="1" applyAlignment="1">
      <alignment vertical="center" wrapText="1"/>
    </xf>
    <xf numFmtId="200" fontId="51" fillId="2" borderId="1" xfId="0" applyNumberFormat="1" applyFont="1" applyFill="1" applyBorder="1" applyAlignment="1">
      <alignment horizontal="right" vertical="center"/>
    </xf>
    <xf numFmtId="0" fontId="33" fillId="0" borderId="0" xfId="0" applyFont="1"/>
    <xf numFmtId="49" fontId="59" fillId="2" borderId="1" xfId="0" applyNumberFormat="1" applyFont="1" applyFill="1" applyBorder="1" applyAlignment="1">
      <alignment horizontal="center"/>
    </xf>
    <xf numFmtId="188" fontId="17" fillId="0" borderId="51" xfId="10" applyNumberFormat="1" applyFont="1" applyFill="1" applyBorder="1" applyAlignment="1">
      <alignment horizontal="right" vertical="top"/>
    </xf>
    <xf numFmtId="3" fontId="17" fillId="0" borderId="51" xfId="0" applyNumberFormat="1" applyFont="1" applyFill="1" applyBorder="1" applyAlignment="1">
      <alignment horizontal="right"/>
    </xf>
    <xf numFmtId="49" fontId="51" fillId="2" borderId="1" xfId="0" applyNumberFormat="1" applyFont="1" applyFill="1" applyBorder="1" applyAlignment="1">
      <alignment horizontal="left" wrapText="1"/>
    </xf>
    <xf numFmtId="3" fontId="14" fillId="0" borderId="51" xfId="10" applyNumberFormat="1" applyFont="1" applyFill="1" applyBorder="1"/>
    <xf numFmtId="3" fontId="17" fillId="0" borderId="51" xfId="10" applyNumberFormat="1" applyFont="1" applyFill="1" applyBorder="1"/>
    <xf numFmtId="1" fontId="17" fillId="4" borderId="51" xfId="0" applyNumberFormat="1" applyFont="1" applyFill="1" applyBorder="1" applyAlignment="1">
      <alignment horizontal="center" vertical="center"/>
    </xf>
    <xf numFmtId="2" fontId="17" fillId="4" borderId="51" xfId="0" applyNumberFormat="1" applyFont="1" applyFill="1" applyBorder="1" applyAlignment="1">
      <alignment horizontal="center" vertical="center"/>
    </xf>
    <xf numFmtId="0" fontId="15" fillId="0" borderId="51" xfId="0" applyNumberFormat="1" applyFont="1" applyFill="1" applyBorder="1" applyAlignment="1">
      <alignment horizontal="center" vertical="center"/>
    </xf>
    <xf numFmtId="0" fontId="15" fillId="0" borderId="51" xfId="0" applyNumberFormat="1" applyFont="1" applyFill="1" applyBorder="1" applyAlignment="1">
      <alignment horizontal="center" vertical="center" wrapText="1"/>
    </xf>
    <xf numFmtId="0" fontId="15" fillId="0" borderId="34" xfId="0" applyNumberFormat="1" applyFont="1" applyFill="1" applyBorder="1" applyAlignment="1">
      <alignment horizontal="center" vertical="center"/>
    </xf>
    <xf numFmtId="0" fontId="14" fillId="0" borderId="51" xfId="0" applyNumberFormat="1" applyFont="1" applyFill="1" applyBorder="1"/>
    <xf numFmtId="1" fontId="14" fillId="0" borderId="51" xfId="0" applyNumberFormat="1" applyFont="1" applyFill="1" applyBorder="1"/>
    <xf numFmtId="1" fontId="17" fillId="0" borderId="34" xfId="0" applyNumberFormat="1" applyFont="1" applyFill="1" applyBorder="1" applyAlignment="1">
      <alignment horizontal="right" vertical="center"/>
    </xf>
    <xf numFmtId="1" fontId="17" fillId="0" borderId="51" xfId="0" applyNumberFormat="1" applyFont="1" applyFill="1" applyBorder="1" applyAlignment="1">
      <alignment horizontal="right" vertical="center"/>
    </xf>
    <xf numFmtId="1" fontId="14" fillId="0" borderId="34" xfId="0" applyNumberFormat="1" applyFont="1" applyFill="1" applyBorder="1"/>
    <xf numFmtId="0" fontId="14" fillId="4" borderId="51" xfId="0" applyNumberFormat="1" applyFont="1" applyFill="1" applyBorder="1"/>
    <xf numFmtId="0" fontId="14" fillId="4" borderId="36" xfId="0" applyNumberFormat="1" applyFont="1" applyFill="1" applyBorder="1"/>
    <xf numFmtId="1" fontId="17" fillId="0" borderId="36" xfId="0" applyNumberFormat="1" applyFont="1" applyFill="1" applyBorder="1" applyAlignment="1">
      <alignment horizontal="right" vertical="center"/>
    </xf>
    <xf numFmtId="1" fontId="17" fillId="0" borderId="37" xfId="0" applyNumberFormat="1" applyFont="1" applyFill="1" applyBorder="1" applyAlignment="1">
      <alignment horizontal="right" vertical="center"/>
    </xf>
    <xf numFmtId="0" fontId="15" fillId="0" borderId="0" xfId="6" applyNumberFormat="1" applyFont="1" applyFill="1"/>
    <xf numFmtId="0" fontId="14" fillId="0" borderId="0" xfId="6" applyNumberFormat="1" applyFont="1" applyFill="1"/>
    <xf numFmtId="181" fontId="52" fillId="6" borderId="33" xfId="7" applyNumberFormat="1" applyFont="1" applyFill="1" applyBorder="1" applyAlignment="1">
      <alignment horizontal="center" vertical="center" wrapText="1"/>
    </xf>
    <xf numFmtId="181" fontId="52" fillId="6" borderId="51" xfId="8" applyNumberFormat="1" applyFont="1" applyFill="1" applyBorder="1" applyAlignment="1">
      <alignment horizontal="center" vertical="top" wrapText="1"/>
    </xf>
    <xf numFmtId="181" fontId="52" fillId="6" borderId="34" xfId="8" applyNumberFormat="1" applyFont="1" applyFill="1" applyBorder="1" applyAlignment="1">
      <alignment horizontal="center" vertical="top" wrapText="1"/>
    </xf>
    <xf numFmtId="183" fontId="52" fillId="2" borderId="51" xfId="0" applyNumberFormat="1" applyFont="1" applyFill="1" applyBorder="1" applyAlignment="1">
      <alignment horizontal="left"/>
    </xf>
    <xf numFmtId="3" fontId="52" fillId="0" borderId="55" xfId="1" applyNumberFormat="1" applyFont="1" applyFill="1" applyBorder="1" applyAlignment="1">
      <alignment horizontal="right" wrapText="1"/>
    </xf>
    <xf numFmtId="183" fontId="17" fillId="2" borderId="51" xfId="0" applyNumberFormat="1" applyFont="1" applyFill="1" applyBorder="1" applyAlignment="1">
      <alignment horizontal="left"/>
    </xf>
    <xf numFmtId="3" fontId="17" fillId="0" borderId="51" xfId="1" applyNumberFormat="1" applyFont="1" applyFill="1" applyBorder="1" applyAlignment="1">
      <alignment horizontal="right" wrapText="1"/>
    </xf>
    <xf numFmtId="0" fontId="15" fillId="7" borderId="51" xfId="0" applyNumberFormat="1" applyFont="1" applyFill="1" applyBorder="1" applyAlignment="1">
      <alignment vertical="center" wrapText="1"/>
    </xf>
    <xf numFmtId="0" fontId="15" fillId="7" borderId="56" xfId="0" applyNumberFormat="1" applyFont="1" applyFill="1" applyBorder="1" applyAlignment="1">
      <alignment vertical="center" wrapText="1"/>
    </xf>
    <xf numFmtId="0" fontId="15" fillId="7" borderId="51" xfId="0" applyNumberFormat="1" applyFont="1" applyFill="1" applyBorder="1" applyAlignment="1">
      <alignment horizontal="center" vertical="center" wrapText="1"/>
    </xf>
    <xf numFmtId="183" fontId="52" fillId="0" borderId="51" xfId="0" applyNumberFormat="1" applyFont="1" applyFill="1" applyBorder="1" applyAlignment="1">
      <alignment horizontal="left"/>
    </xf>
    <xf numFmtId="182" fontId="52" fillId="0" borderId="51" xfId="3" applyNumberFormat="1" applyFont="1" applyFill="1" applyBorder="1" applyAlignment="1">
      <alignment horizontal="right" vertical="top"/>
    </xf>
    <xf numFmtId="183" fontId="17" fillId="0" borderId="51" xfId="0" applyNumberFormat="1" applyFont="1" applyFill="1" applyBorder="1" applyAlignment="1">
      <alignment horizontal="left"/>
    </xf>
    <xf numFmtId="182" fontId="17" fillId="4" borderId="51" xfId="3" applyNumberFormat="1" applyFont="1" applyFill="1" applyBorder="1" applyAlignment="1">
      <alignment horizontal="right" vertical="top"/>
    </xf>
    <xf numFmtId="188" fontId="17" fillId="4" borderId="51" xfId="10" applyNumberFormat="1" applyFont="1" applyFill="1" applyBorder="1" applyAlignment="1">
      <alignment horizontal="right" vertical="top"/>
    </xf>
    <xf numFmtId="0" fontId="52" fillId="7" borderId="51" xfId="11" applyFont="1" applyFill="1" applyBorder="1" applyAlignment="1">
      <alignment horizontal="center" vertical="center" wrapText="1"/>
    </xf>
    <xf numFmtId="189" fontId="33" fillId="0" borderId="0" xfId="0" applyNumberFormat="1" applyFont="1"/>
    <xf numFmtId="182" fontId="33" fillId="0" borderId="0" xfId="0" applyNumberFormat="1" applyFont="1"/>
    <xf numFmtId="0" fontId="15" fillId="7" borderId="56" xfId="0" applyNumberFormat="1" applyFont="1" applyFill="1" applyBorder="1" applyAlignment="1">
      <alignment horizontal="center" vertical="center" wrapText="1"/>
    </xf>
    <xf numFmtId="0" fontId="52" fillId="7" borderId="28" xfId="11" applyFont="1" applyFill="1" applyBorder="1" applyAlignment="1">
      <alignment horizontal="center" vertical="center" wrapText="1"/>
    </xf>
    <xf numFmtId="0" fontId="15" fillId="0" borderId="51" xfId="0" applyNumberFormat="1" applyFont="1" applyBorder="1" applyAlignment="1">
      <alignment vertical="center" wrapText="1"/>
    </xf>
    <xf numFmtId="188" fontId="52" fillId="4" borderId="51" xfId="10" applyNumberFormat="1" applyFont="1" applyFill="1" applyBorder="1" applyAlignment="1">
      <alignment horizontal="right" vertical="top"/>
    </xf>
    <xf numFmtId="182" fontId="52" fillId="0" borderId="51" xfId="3" applyNumberFormat="1" applyFont="1" applyFill="1" applyBorder="1" applyAlignment="1">
      <alignment horizontal="right"/>
    </xf>
    <xf numFmtId="191" fontId="52" fillId="0" borderId="51" xfId="3" applyNumberFormat="1" applyFont="1" applyFill="1" applyBorder="1" applyAlignment="1">
      <alignment horizontal="right"/>
    </xf>
    <xf numFmtId="193" fontId="52" fillId="0" borderId="51" xfId="3" applyNumberFormat="1" applyFont="1" applyFill="1" applyBorder="1" applyAlignment="1">
      <alignment horizontal="right" vertical="top"/>
    </xf>
    <xf numFmtId="191" fontId="52" fillId="0" borderId="51" xfId="3" applyNumberFormat="1" applyFont="1" applyFill="1" applyBorder="1" applyAlignment="1">
      <alignment horizontal="right" vertical="top"/>
    </xf>
    <xf numFmtId="182" fontId="17" fillId="0" borderId="51" xfId="3" applyNumberFormat="1" applyFont="1" applyFill="1" applyBorder="1" applyAlignment="1">
      <alignment horizontal="right" vertical="top"/>
    </xf>
    <xf numFmtId="1" fontId="50" fillId="0" borderId="51" xfId="10" applyNumberFormat="1" applyFont="1" applyFill="1" applyBorder="1" applyAlignment="1">
      <alignment vertical="center"/>
    </xf>
    <xf numFmtId="191" fontId="50" fillId="0" borderId="51" xfId="10" applyNumberFormat="1" applyFont="1" applyFill="1" applyBorder="1" applyAlignment="1">
      <alignment horizontal="right" vertical="center"/>
    </xf>
    <xf numFmtId="182" fontId="52" fillId="4" borderId="51" xfId="3" applyNumberFormat="1" applyFont="1" applyFill="1" applyBorder="1" applyAlignment="1">
      <alignment horizontal="right" vertical="top"/>
    </xf>
    <xf numFmtId="193" fontId="17" fillId="4" borderId="51" xfId="3" applyNumberFormat="1" applyFont="1" applyFill="1" applyBorder="1" applyAlignment="1">
      <alignment horizontal="right" vertical="top"/>
    </xf>
    <xf numFmtId="17" fontId="34" fillId="0" borderId="0" xfId="11" applyNumberFormat="1" applyFont="1" applyBorder="1" applyAlignment="1">
      <alignment horizontal="left"/>
    </xf>
    <xf numFmtId="0" fontId="30" fillId="0" borderId="0" xfId="0" applyNumberFormat="1" applyFont="1" applyBorder="1"/>
    <xf numFmtId="0" fontId="61" fillId="0" borderId="0" xfId="0" applyFont="1"/>
    <xf numFmtId="17" fontId="36" fillId="0" borderId="0" xfId="11" applyNumberFormat="1" applyFont="1" applyBorder="1" applyAlignment="1">
      <alignment horizontal="left"/>
    </xf>
    <xf numFmtId="182" fontId="36" fillId="0" borderId="0" xfId="3" applyNumberFormat="1" applyFont="1" applyFill="1" applyBorder="1" applyAlignment="1">
      <alignment horizontal="right" vertical="top"/>
    </xf>
    <xf numFmtId="1" fontId="61" fillId="0" borderId="0" xfId="0" applyNumberFormat="1" applyFont="1"/>
    <xf numFmtId="0" fontId="34" fillId="0" borderId="0" xfId="0" applyFont="1"/>
    <xf numFmtId="0" fontId="28" fillId="7" borderId="51" xfId="0" applyNumberFormat="1" applyFont="1" applyFill="1" applyBorder="1" applyAlignment="1">
      <alignment horizontal="center" vertical="center"/>
    </xf>
    <xf numFmtId="1" fontId="15" fillId="0" borderId="51" xfId="0" applyNumberFormat="1" applyFont="1" applyFill="1" applyBorder="1"/>
    <xf numFmtId="1" fontId="52" fillId="4" borderId="51" xfId="3" applyNumberFormat="1" applyFont="1" applyFill="1" applyBorder="1" applyAlignment="1">
      <alignment horizontal="right" vertical="top"/>
    </xf>
    <xf numFmtId="166" fontId="52" fillId="4" borderId="51" xfId="3" applyNumberFormat="1" applyFont="1" applyFill="1" applyBorder="1" applyAlignment="1">
      <alignment horizontal="right" vertical="top"/>
    </xf>
    <xf numFmtId="183" fontId="17" fillId="0" borderId="51" xfId="12" applyNumberFormat="1" applyFont="1" applyFill="1" applyBorder="1" applyAlignment="1">
      <alignment horizontal="left"/>
    </xf>
    <xf numFmtId="1" fontId="14" fillId="4" borderId="51" xfId="0" applyNumberFormat="1" applyFont="1" applyFill="1" applyBorder="1"/>
    <xf numFmtId="1" fontId="17" fillId="4" borderId="51" xfId="3" applyNumberFormat="1" applyFont="1" applyFill="1" applyBorder="1" applyAlignment="1">
      <alignment horizontal="right" vertical="top"/>
    </xf>
    <xf numFmtId="166" fontId="17" fillId="4" borderId="51" xfId="3" applyNumberFormat="1" applyFont="1" applyFill="1" applyBorder="1" applyAlignment="1">
      <alignment horizontal="right" vertical="top"/>
    </xf>
    <xf numFmtId="166" fontId="33" fillId="0" borderId="0" xfId="0" applyNumberFormat="1" applyFont="1" applyBorder="1"/>
    <xf numFmtId="0" fontId="28" fillId="7" borderId="51" xfId="0" applyFont="1" applyFill="1" applyBorder="1" applyAlignment="1">
      <alignment horizontal="center" vertical="center" wrapText="1"/>
    </xf>
    <xf numFmtId="0" fontId="52" fillId="0" borderId="51" xfId="0" applyFont="1" applyFill="1" applyBorder="1" applyAlignment="1">
      <alignment horizontal="center" vertical="center" wrapText="1"/>
    </xf>
    <xf numFmtId="188" fontId="17" fillId="0" borderId="51" xfId="0" applyNumberFormat="1" applyFont="1" applyFill="1" applyBorder="1" applyAlignment="1">
      <alignment horizontal="center" vertical="center" wrapText="1"/>
    </xf>
    <xf numFmtId="188" fontId="17" fillId="0" borderId="51" xfId="0" applyNumberFormat="1" applyFont="1" applyFill="1" applyBorder="1" applyAlignment="1">
      <alignment horizontal="left" vertical="top" wrapText="1"/>
    </xf>
    <xf numFmtId="194" fontId="14" fillId="0" borderId="51" xfId="10" applyNumberFormat="1" applyFont="1" applyFill="1" applyBorder="1" applyAlignment="1">
      <alignment horizontal="right"/>
    </xf>
    <xf numFmtId="188" fontId="14" fillId="0" borderId="51" xfId="10" applyNumberFormat="1" applyFont="1" applyFill="1" applyBorder="1" applyAlignment="1">
      <alignment horizontal="right"/>
    </xf>
    <xf numFmtId="194" fontId="17" fillId="0" borderId="51" xfId="10" applyNumberFormat="1" applyFont="1" applyFill="1" applyBorder="1" applyAlignment="1">
      <alignment horizontal="right"/>
    </xf>
    <xf numFmtId="188" fontId="17" fillId="0" borderId="51" xfId="10" applyNumberFormat="1" applyFont="1" applyFill="1" applyBorder="1" applyAlignment="1">
      <alignment horizontal="right"/>
    </xf>
    <xf numFmtId="194" fontId="17" fillId="0" borderId="55" xfId="10" applyNumberFormat="1" applyFont="1" applyFill="1" applyBorder="1" applyAlignment="1">
      <alignment horizontal="right" vertical="top"/>
    </xf>
    <xf numFmtId="188" fontId="52" fillId="0" borderId="51" xfId="0" applyNumberFormat="1" applyFont="1" applyFill="1" applyBorder="1" applyAlignment="1">
      <alignment horizontal="left" vertical="top" wrapText="1"/>
    </xf>
    <xf numFmtId="188" fontId="15" fillId="0" borderId="51" xfId="10" applyNumberFormat="1" applyFont="1" applyFill="1" applyBorder="1" applyAlignment="1">
      <alignment horizontal="right"/>
    </xf>
    <xf numFmtId="188" fontId="52" fillId="0" borderId="51" xfId="0" applyNumberFormat="1" applyFont="1" applyFill="1" applyBorder="1" applyAlignment="1">
      <alignment horizontal="center" vertical="center" wrapText="1"/>
    </xf>
    <xf numFmtId="194" fontId="17" fillId="4" borderId="51" xfId="10" applyNumberFormat="1" applyFont="1" applyFill="1" applyBorder="1" applyAlignment="1">
      <alignment horizontal="right" vertical="top"/>
    </xf>
    <xf numFmtId="194" fontId="17" fillId="0" borderId="51" xfId="10" applyNumberFormat="1" applyFont="1" applyFill="1" applyBorder="1" applyAlignment="1">
      <alignment horizontal="right" vertical="top"/>
    </xf>
    <xf numFmtId="188" fontId="17" fillId="4" borderId="51" xfId="10" applyNumberFormat="1" applyFont="1" applyFill="1" applyBorder="1" applyAlignment="1">
      <alignment vertical="center"/>
    </xf>
    <xf numFmtId="188" fontId="14" fillId="0" borderId="51" xfId="10" applyNumberFormat="1" applyFont="1" applyFill="1" applyBorder="1" applyAlignment="1">
      <alignment vertical="center"/>
    </xf>
    <xf numFmtId="188" fontId="17" fillId="0" borderId="51" xfId="10" applyNumberFormat="1" applyFont="1" applyFill="1" applyBorder="1" applyAlignment="1">
      <alignment vertical="center"/>
    </xf>
    <xf numFmtId="0" fontId="52" fillId="0" borderId="51" xfId="0" applyFont="1" applyFill="1" applyBorder="1" applyAlignment="1">
      <alignment horizontal="center" vertical="top" wrapText="1"/>
    </xf>
    <xf numFmtId="194" fontId="17" fillId="0" borderId="51" xfId="0" applyNumberFormat="1" applyFont="1" applyFill="1" applyBorder="1" applyAlignment="1">
      <alignment horizontal="center" vertical="center" wrapText="1"/>
    </xf>
    <xf numFmtId="194" fontId="58" fillId="0" borderId="51" xfId="0" applyNumberFormat="1" applyFont="1" applyFill="1" applyBorder="1" applyAlignment="1">
      <alignment horizontal="left" vertical="top" wrapText="1"/>
    </xf>
    <xf numFmtId="194" fontId="14" fillId="0" borderId="51" xfId="10" quotePrefix="1" applyNumberFormat="1" applyFont="1" applyFill="1" applyBorder="1" applyAlignment="1">
      <alignment horizontal="right"/>
    </xf>
    <xf numFmtId="188" fontId="14" fillId="0" borderId="51" xfId="10" quotePrefix="1" applyNumberFormat="1" applyFont="1" applyFill="1" applyBorder="1" applyAlignment="1">
      <alignment horizontal="right"/>
    </xf>
    <xf numFmtId="194" fontId="52" fillId="0" borderId="51" xfId="0" applyNumberFormat="1" applyFont="1" applyFill="1" applyBorder="1" applyAlignment="1">
      <alignment horizontal="center" vertical="top" wrapText="1"/>
    </xf>
    <xf numFmtId="194" fontId="52" fillId="0" borderId="51" xfId="0" applyNumberFormat="1" applyFont="1" applyFill="1" applyBorder="1" applyAlignment="1">
      <alignment horizontal="left" vertical="top" wrapText="1"/>
    </xf>
    <xf numFmtId="194" fontId="52" fillId="4" borderId="51" xfId="10" applyNumberFormat="1" applyFont="1" applyFill="1" applyBorder="1" applyAlignment="1">
      <alignment horizontal="right" vertical="top"/>
    </xf>
    <xf numFmtId="194" fontId="17" fillId="0" borderId="51" xfId="0" applyNumberFormat="1" applyFont="1" applyFill="1" applyBorder="1" applyAlignment="1">
      <alignment horizontal="left" vertical="top" wrapText="1"/>
    </xf>
    <xf numFmtId="1" fontId="14" fillId="0" borderId="51" xfId="10" applyNumberFormat="1" applyFont="1" applyFill="1" applyBorder="1" applyAlignment="1">
      <alignment horizontal="right"/>
    </xf>
    <xf numFmtId="166" fontId="14" fillId="0" borderId="51" xfId="10" applyNumberFormat="1" applyFont="1" applyFill="1" applyBorder="1" applyAlignment="1">
      <alignment horizontal="right"/>
    </xf>
    <xf numFmtId="188" fontId="15" fillId="0" borderId="51" xfId="10" quotePrefix="1" applyNumberFormat="1" applyFont="1" applyFill="1" applyBorder="1" applyAlignment="1">
      <alignment horizontal="right"/>
    </xf>
    <xf numFmtId="0" fontId="1" fillId="0" borderId="0" xfId="0" applyFont="1"/>
    <xf numFmtId="194" fontId="52" fillId="0" borderId="0" xfId="10" applyNumberFormat="1" applyFont="1" applyFill="1" applyBorder="1" applyAlignment="1">
      <alignment horizontal="right" vertical="top"/>
    </xf>
    <xf numFmtId="0" fontId="33" fillId="0" borderId="0" xfId="0" applyFont="1" applyFill="1"/>
    <xf numFmtId="0" fontId="36" fillId="0" borderId="0" xfId="0" applyFont="1" applyFill="1" applyBorder="1" applyAlignment="1">
      <alignment horizontal="center" vertical="top" wrapText="1"/>
    </xf>
    <xf numFmtId="0" fontId="62" fillId="0" borderId="0" xfId="0" applyFont="1"/>
    <xf numFmtId="2" fontId="62" fillId="0" borderId="0" xfId="0" applyNumberFormat="1" applyFont="1"/>
    <xf numFmtId="0" fontId="62" fillId="0" borderId="0" xfId="0" applyFont="1" applyFill="1"/>
    <xf numFmtId="166" fontId="62" fillId="0" borderId="0" xfId="0" applyNumberFormat="1" applyFont="1"/>
    <xf numFmtId="188" fontId="17" fillId="0" borderId="51" xfId="0" applyNumberFormat="1" applyFont="1" applyFill="1" applyBorder="1" applyAlignment="1">
      <alignment horizontal="center" vertical="top" wrapText="1"/>
    </xf>
    <xf numFmtId="164" fontId="14" fillId="0" borderId="51" xfId="10" applyNumberFormat="1" applyFont="1" applyFill="1" applyBorder="1" applyAlignment="1">
      <alignment horizontal="right"/>
    </xf>
    <xf numFmtId="188" fontId="1" fillId="0" borderId="51" xfId="0" applyNumberFormat="1" applyFont="1" applyFill="1" applyBorder="1"/>
    <xf numFmtId="188" fontId="17" fillId="0" borderId="51" xfId="0" applyNumberFormat="1" applyFont="1" applyFill="1" applyBorder="1" applyAlignment="1">
      <alignment horizontal="right" vertical="top" wrapText="1"/>
    </xf>
    <xf numFmtId="166" fontId="15" fillId="0" borderId="51" xfId="10" applyNumberFormat="1" applyFont="1" applyFill="1" applyBorder="1" applyAlignment="1">
      <alignment horizontal="right"/>
    </xf>
    <xf numFmtId="0" fontId="30" fillId="0" borderId="0" xfId="0" applyFont="1" applyFill="1"/>
    <xf numFmtId="0" fontId="63" fillId="0" borderId="0" xfId="0" applyFont="1" applyFill="1"/>
    <xf numFmtId="0" fontId="28" fillId="0" borderId="56" xfId="0" applyFont="1" applyFill="1" applyBorder="1" applyAlignment="1">
      <alignment horizontal="center" vertical="center" wrapText="1"/>
    </xf>
    <xf numFmtId="0" fontId="15" fillId="0" borderId="56" xfId="0" applyNumberFormat="1" applyFont="1" applyFill="1" applyBorder="1" applyAlignment="1">
      <alignment horizontal="center" vertical="center" wrapText="1"/>
    </xf>
    <xf numFmtId="0" fontId="28" fillId="0" borderId="60" xfId="0" applyFont="1" applyFill="1" applyBorder="1" applyAlignment="1">
      <alignment horizontal="right" vertical="top"/>
    </xf>
    <xf numFmtId="194" fontId="50" fillId="0" borderId="45" xfId="0" applyNumberFormat="1" applyFont="1" applyFill="1" applyBorder="1" applyAlignment="1">
      <alignment horizontal="left" vertical="top"/>
    </xf>
    <xf numFmtId="0" fontId="50" fillId="0" borderId="45" xfId="0" applyNumberFormat="1" applyFont="1" applyFill="1" applyBorder="1" applyAlignment="1">
      <alignment horizontal="right" vertical="top"/>
    </xf>
    <xf numFmtId="1" fontId="50" fillId="0" borderId="45" xfId="0" applyNumberFormat="1" applyFont="1" applyFill="1" applyBorder="1" applyAlignment="1">
      <alignment horizontal="right" vertical="top"/>
    </xf>
    <xf numFmtId="166" fontId="50" fillId="0" borderId="45" xfId="0" applyNumberFormat="1" applyFont="1" applyFill="1" applyBorder="1" applyAlignment="1">
      <alignment horizontal="right" vertical="top"/>
    </xf>
    <xf numFmtId="164" fontId="17" fillId="0" borderId="51" xfId="10" applyNumberFormat="1" applyFont="1" applyFill="1" applyBorder="1" applyAlignment="1">
      <alignment horizontal="right" vertical="top"/>
    </xf>
    <xf numFmtId="194" fontId="50" fillId="0" borderId="38" xfId="0" applyNumberFormat="1" applyFont="1" applyFill="1" applyBorder="1" applyAlignment="1">
      <alignment horizontal="left" vertical="top"/>
    </xf>
    <xf numFmtId="195" fontId="17" fillId="0" borderId="51" xfId="10" applyNumberFormat="1" applyFont="1" applyFill="1" applyBorder="1" applyAlignment="1">
      <alignment horizontal="right" vertical="top"/>
    </xf>
    <xf numFmtId="194" fontId="28" fillId="0" borderId="38" xfId="0" applyNumberFormat="1" applyFont="1" applyFill="1" applyBorder="1" applyAlignment="1">
      <alignment horizontal="left" vertical="top"/>
    </xf>
    <xf numFmtId="188" fontId="52" fillId="0" borderId="51" xfId="10" applyNumberFormat="1" applyFont="1" applyFill="1" applyBorder="1" applyAlignment="1">
      <alignment horizontal="right" vertical="top"/>
    </xf>
    <xf numFmtId="0" fontId="28" fillId="0" borderId="45" xfId="0" applyFont="1" applyFill="1" applyBorder="1" applyAlignment="1">
      <alignment horizontal="right" vertical="top"/>
    </xf>
    <xf numFmtId="194" fontId="50" fillId="0" borderId="51" xfId="0" applyNumberFormat="1" applyFont="1" applyFill="1" applyBorder="1" applyAlignment="1">
      <alignment horizontal="left" vertical="top"/>
    </xf>
    <xf numFmtId="1" fontId="50" fillId="0" borderId="51" xfId="0" applyNumberFormat="1" applyFont="1" applyFill="1" applyBorder="1" applyAlignment="1">
      <alignment horizontal="right" vertical="top"/>
    </xf>
    <xf numFmtId="188" fontId="50" fillId="0" borderId="38" xfId="0" applyNumberFormat="1" applyFont="1" applyFill="1" applyBorder="1" applyAlignment="1">
      <alignment horizontal="right" vertical="top"/>
    </xf>
    <xf numFmtId="188" fontId="50" fillId="0" borderId="45" xfId="0" applyNumberFormat="1" applyFont="1" applyFill="1" applyBorder="1" applyAlignment="1">
      <alignment horizontal="right" vertical="top"/>
    </xf>
    <xf numFmtId="194" fontId="50" fillId="0" borderId="45" xfId="0" applyNumberFormat="1" applyFont="1" applyFill="1" applyBorder="1" applyAlignment="1">
      <alignment horizontal="right" vertical="top"/>
    </xf>
    <xf numFmtId="1" fontId="14" fillId="0" borderId="51" xfId="10" quotePrefix="1" applyNumberFormat="1" applyFont="1" applyFill="1" applyBorder="1" applyAlignment="1">
      <alignment horizontal="right"/>
    </xf>
    <xf numFmtId="1" fontId="14" fillId="0" borderId="55" xfId="10" quotePrefix="1" applyNumberFormat="1" applyFont="1" applyFill="1" applyBorder="1" applyAlignment="1">
      <alignment horizontal="right"/>
    </xf>
    <xf numFmtId="2" fontId="50" fillId="0" borderId="45" xfId="0" applyNumberFormat="1" applyFont="1" applyFill="1" applyBorder="1" applyAlignment="1">
      <alignment horizontal="right" vertical="top"/>
    </xf>
    <xf numFmtId="1" fontId="14" fillId="0" borderId="38" xfId="10" quotePrefix="1" applyNumberFormat="1" applyFont="1" applyFill="1" applyBorder="1" applyAlignment="1">
      <alignment horizontal="right"/>
    </xf>
    <xf numFmtId="188" fontId="14" fillId="0" borderId="38" xfId="10" quotePrefix="1" applyNumberFormat="1" applyFont="1" applyFill="1" applyBorder="1" applyAlignment="1">
      <alignment horizontal="right"/>
    </xf>
    <xf numFmtId="188" fontId="50" fillId="0" borderId="45" xfId="10" applyNumberFormat="1" applyFont="1" applyFill="1" applyBorder="1" applyAlignment="1">
      <alignment horizontal="right" vertical="top"/>
    </xf>
    <xf numFmtId="194" fontId="28" fillId="0" borderId="45" xfId="0" applyNumberFormat="1" applyFont="1" applyFill="1" applyBorder="1" applyAlignment="1">
      <alignment horizontal="left" vertical="top"/>
    </xf>
    <xf numFmtId="188" fontId="28" fillId="0" borderId="45" xfId="0" applyNumberFormat="1" applyFont="1" applyFill="1" applyBorder="1" applyAlignment="1">
      <alignment horizontal="right" vertical="top"/>
    </xf>
    <xf numFmtId="0" fontId="50" fillId="0" borderId="51" xfId="0" applyFont="1" applyFill="1" applyBorder="1" applyAlignment="1">
      <alignment horizontal="left" vertical="top"/>
    </xf>
    <xf numFmtId="194" fontId="17" fillId="0" borderId="51" xfId="0" applyNumberFormat="1" applyFont="1" applyFill="1" applyBorder="1" applyAlignment="1">
      <alignment horizontal="right" vertical="top" wrapText="1"/>
    </xf>
    <xf numFmtId="194" fontId="52" fillId="0" borderId="51" xfId="13" applyNumberFormat="1" applyFont="1" applyFill="1" applyBorder="1" applyAlignment="1" applyProtection="1"/>
    <xf numFmtId="194" fontId="52" fillId="0" borderId="51" xfId="10" applyNumberFormat="1" applyFont="1" applyFill="1" applyBorder="1" applyAlignment="1">
      <alignment horizontal="right" vertical="top"/>
    </xf>
    <xf numFmtId="183" fontId="34" fillId="0" borderId="0" xfId="0" applyNumberFormat="1" applyFont="1" applyFill="1" applyBorder="1" applyAlignment="1">
      <alignment horizontal="left"/>
    </xf>
    <xf numFmtId="194" fontId="60" fillId="0" borderId="0" xfId="0" applyNumberFormat="1" applyFont="1" applyFill="1" applyBorder="1" applyAlignment="1">
      <alignment horizontal="right" vertical="top"/>
    </xf>
    <xf numFmtId="0" fontId="33" fillId="0" borderId="0" xfId="0" applyNumberFormat="1" applyFont="1" applyFill="1" applyAlignment="1">
      <alignment horizontal="left" wrapText="1"/>
    </xf>
    <xf numFmtId="188" fontId="60" fillId="0" borderId="0" xfId="0" applyNumberFormat="1" applyFont="1" applyFill="1" applyBorder="1" applyAlignment="1">
      <alignment horizontal="right" vertical="top"/>
    </xf>
    <xf numFmtId="49" fontId="49" fillId="2" borderId="9" xfId="0" applyNumberFormat="1" applyFont="1" applyFill="1" applyBorder="1" applyAlignment="1">
      <alignment horizontal="center" vertical="center"/>
    </xf>
    <xf numFmtId="49" fontId="49" fillId="2" borderId="51" xfId="0" applyNumberFormat="1" applyFont="1" applyFill="1" applyBorder="1" applyAlignment="1">
      <alignment horizontal="center" vertical="center" wrapText="1"/>
    </xf>
    <xf numFmtId="49" fontId="49" fillId="2" borderId="51" xfId="0" applyNumberFormat="1" applyFont="1" applyFill="1" applyBorder="1" applyAlignment="1">
      <alignment horizontal="center" vertical="center"/>
    </xf>
    <xf numFmtId="188" fontId="64" fillId="0" borderId="51" xfId="14" applyNumberFormat="1" applyFont="1" applyFill="1" applyBorder="1"/>
    <xf numFmtId="49" fontId="7" fillId="2" borderId="51" xfId="0" applyNumberFormat="1" applyFont="1" applyFill="1" applyBorder="1" applyAlignment="1">
      <alignment horizontal="center" vertical="center" wrapText="1"/>
    </xf>
    <xf numFmtId="49" fontId="7" fillId="2" borderId="1" xfId="0" applyNumberFormat="1" applyFont="1" applyFill="1" applyBorder="1" applyAlignment="1">
      <alignment horizontal="center" wrapText="1"/>
    </xf>
    <xf numFmtId="181" fontId="35" fillId="6" borderId="51" xfId="17" applyFont="1" applyFill="1" applyBorder="1" applyAlignment="1">
      <alignment horizontal="center" vertical="center" wrapText="1"/>
    </xf>
    <xf numFmtId="0" fontId="7" fillId="2" borderId="1" xfId="0" applyFont="1" applyFill="1" applyBorder="1" applyAlignment="1">
      <alignment horizontal="center" vertical="center" wrapText="1"/>
    </xf>
    <xf numFmtId="168" fontId="51" fillId="2" borderId="51" xfId="0" applyNumberFormat="1" applyFont="1" applyFill="1" applyBorder="1" applyAlignment="1">
      <alignment horizontal="right" vertical="center"/>
    </xf>
    <xf numFmtId="181" fontId="29" fillId="2" borderId="51" xfId="32" applyFont="1" applyFill="1" applyBorder="1"/>
    <xf numFmtId="181" fontId="29" fillId="9" borderId="51" xfId="32" applyFont="1" applyFill="1" applyBorder="1"/>
    <xf numFmtId="183" fontId="49" fillId="2" borderId="1" xfId="0" applyNumberFormat="1" applyFont="1" applyFill="1" applyBorder="1" applyAlignment="1">
      <alignment horizontal="center"/>
    </xf>
    <xf numFmtId="188" fontId="17" fillId="0" borderId="51" xfId="28" applyNumberFormat="1" applyFont="1" applyFill="1" applyBorder="1" applyAlignment="1">
      <alignment horizontal="right"/>
    </xf>
    <xf numFmtId="181" fontId="65" fillId="6" borderId="51" xfId="17" applyFont="1" applyFill="1" applyBorder="1" applyAlignment="1">
      <alignment horizontal="center" vertical="center" wrapText="1"/>
    </xf>
    <xf numFmtId="0" fontId="14" fillId="0" borderId="51" xfId="0" applyNumberFormat="1" applyFont="1" applyFill="1" applyBorder="1" applyAlignment="1">
      <alignment horizontal="center"/>
    </xf>
    <xf numFmtId="0" fontId="14" fillId="0" borderId="51" xfId="0" applyFont="1" applyFill="1" applyBorder="1" applyAlignment="1"/>
    <xf numFmtId="177" fontId="14" fillId="0" borderId="51" xfId="0" applyNumberFormat="1" applyFont="1" applyFill="1" applyBorder="1" applyAlignment="1">
      <alignment horizontal="center"/>
    </xf>
    <xf numFmtId="177" fontId="14" fillId="0" borderId="51" xfId="0" applyNumberFormat="1" applyFont="1" applyFill="1" applyBorder="1" applyAlignment="1">
      <alignment horizontal="right"/>
    </xf>
    <xf numFmtId="2" fontId="14" fillId="0" borderId="51" xfId="0" applyNumberFormat="1" applyFont="1" applyFill="1" applyBorder="1" applyAlignment="1">
      <alignment horizontal="right"/>
    </xf>
    <xf numFmtId="166" fontId="14" fillId="0" borderId="51" xfId="0" applyNumberFormat="1" applyFont="1" applyFill="1" applyBorder="1" applyAlignment="1">
      <alignment horizontal="right"/>
    </xf>
    <xf numFmtId="0" fontId="17" fillId="0" borderId="51" xfId="0" applyFont="1" applyBorder="1" applyAlignment="1">
      <alignment vertical="center"/>
    </xf>
    <xf numFmtId="188" fontId="17" fillId="0" borderId="51" xfId="28" applyNumberFormat="1" applyFont="1" applyFill="1" applyBorder="1" applyAlignment="1">
      <alignment horizontal="right" vertical="center"/>
    </xf>
    <xf numFmtId="177" fontId="14" fillId="0" borderId="51" xfId="0" applyNumberFormat="1" applyFont="1" applyFill="1" applyBorder="1" applyAlignment="1">
      <alignment horizontal="center" vertical="center"/>
    </xf>
    <xf numFmtId="177" fontId="14" fillId="0" borderId="51" xfId="0" applyNumberFormat="1" applyFont="1" applyFill="1" applyBorder="1" applyAlignment="1">
      <alignment horizontal="right" vertical="center"/>
    </xf>
    <xf numFmtId="2" fontId="17" fillId="0" borderId="51" xfId="0" applyNumberFormat="1" applyFont="1" applyBorder="1" applyAlignment="1">
      <alignment vertical="center"/>
    </xf>
    <xf numFmtId="181" fontId="52" fillId="6" borderId="51" xfId="17" applyFont="1" applyFill="1" applyBorder="1" applyAlignment="1">
      <alignment horizontal="left" vertical="center" wrapText="1"/>
    </xf>
    <xf numFmtId="0" fontId="17" fillId="0" borderId="51" xfId="0" applyFont="1" applyBorder="1" applyAlignment="1">
      <alignment horizontal="left" vertical="center" wrapText="1"/>
    </xf>
    <xf numFmtId="0" fontId="51" fillId="2" borderId="0" xfId="0" applyFont="1" applyFill="1" applyAlignment="1">
      <alignment horizontal="left" vertical="center"/>
    </xf>
    <xf numFmtId="0" fontId="17" fillId="0" borderId="0" xfId="0" applyNumberFormat="1" applyFont="1" applyFill="1" applyBorder="1" applyAlignment="1">
      <alignment horizontal="left"/>
    </xf>
    <xf numFmtId="0" fontId="67" fillId="0" borderId="0" xfId="0" applyNumberFormat="1" applyFont="1" applyFill="1" applyBorder="1" applyAlignment="1"/>
    <xf numFmtId="3" fontId="24" fillId="0" borderId="51" xfId="0" applyNumberFormat="1" applyFont="1" applyFill="1" applyBorder="1" applyAlignment="1">
      <alignment horizontal="right"/>
    </xf>
    <xf numFmtId="166" fontId="24" fillId="0" borderId="51" xfId="0" applyNumberFormat="1" applyFont="1" applyFill="1" applyBorder="1" applyAlignment="1">
      <alignment horizontal="right"/>
    </xf>
    <xf numFmtId="3" fontId="24" fillId="0" borderId="51" xfId="0" applyNumberFormat="1" applyFont="1" applyBorder="1"/>
    <xf numFmtId="177" fontId="47" fillId="2" borderId="1" xfId="0" applyNumberFormat="1" applyFont="1" applyFill="1" applyBorder="1" applyAlignment="1">
      <alignment horizontal="right"/>
    </xf>
    <xf numFmtId="172" fontId="47" fillId="2" borderId="1" xfId="0" applyNumberFormat="1" applyFont="1" applyFill="1" applyBorder="1" applyAlignment="1">
      <alignment horizontal="right"/>
    </xf>
    <xf numFmtId="165" fontId="47" fillId="2" borderId="1" xfId="0" applyNumberFormat="1" applyFont="1" applyFill="1" applyBorder="1" applyAlignment="1">
      <alignment horizontal="right"/>
    </xf>
    <xf numFmtId="175" fontId="47" fillId="2" borderId="1" xfId="0" applyNumberFormat="1" applyFont="1" applyFill="1" applyBorder="1" applyAlignment="1">
      <alignment horizontal="right"/>
    </xf>
    <xf numFmtId="3" fontId="47" fillId="2" borderId="1" xfId="0" applyNumberFormat="1" applyFont="1" applyFill="1" applyBorder="1" applyAlignment="1">
      <alignment horizontal="right" vertical="center"/>
    </xf>
    <xf numFmtId="170" fontId="47" fillId="2" borderId="1" xfId="0" applyNumberFormat="1" applyFont="1" applyFill="1" applyBorder="1" applyAlignment="1">
      <alignment horizontal="right" vertical="center"/>
    </xf>
    <xf numFmtId="172" fontId="47" fillId="2" borderId="1" xfId="0" applyNumberFormat="1" applyFont="1" applyFill="1" applyBorder="1" applyAlignment="1">
      <alignment horizontal="right" vertical="center"/>
    </xf>
    <xf numFmtId="166" fontId="47" fillId="2" borderId="1" xfId="0" applyNumberFormat="1" applyFont="1" applyFill="1" applyBorder="1" applyAlignment="1">
      <alignment horizontal="right" vertical="center"/>
    </xf>
    <xf numFmtId="165" fontId="47" fillId="2" borderId="1" xfId="0" applyNumberFormat="1" applyFont="1" applyFill="1" applyBorder="1" applyAlignment="1">
      <alignment horizontal="right" vertical="center"/>
    </xf>
    <xf numFmtId="49" fontId="44" fillId="2" borderId="1" xfId="0" applyNumberFormat="1" applyFont="1" applyFill="1" applyBorder="1" applyAlignment="1">
      <alignment vertical="center"/>
    </xf>
    <xf numFmtId="0" fontId="47" fillId="2" borderId="0" xfId="0" applyFont="1" applyFill="1" applyAlignment="1">
      <alignment vertical="center" wrapText="1"/>
    </xf>
    <xf numFmtId="0" fontId="47" fillId="2" borderId="1" xfId="0" applyFont="1" applyFill="1" applyBorder="1" applyAlignment="1">
      <alignment horizontal="right" vertical="center"/>
    </xf>
    <xf numFmtId="171" fontId="47" fillId="2" borderId="1" xfId="0" applyNumberFormat="1" applyFont="1" applyFill="1" applyBorder="1" applyAlignment="1">
      <alignment horizontal="right" vertical="center"/>
    </xf>
    <xf numFmtId="179" fontId="47" fillId="2" borderId="1" xfId="0" applyNumberFormat="1" applyFont="1" applyFill="1" applyBorder="1" applyAlignment="1">
      <alignment horizontal="right" vertical="center"/>
    </xf>
    <xf numFmtId="49" fontId="44" fillId="2" borderId="1" xfId="0" applyNumberFormat="1" applyFont="1" applyFill="1" applyBorder="1" applyAlignment="1">
      <alignment horizontal="center"/>
    </xf>
    <xf numFmtId="0" fontId="47" fillId="2" borderId="1" xfId="0" applyFont="1" applyFill="1" applyBorder="1" applyAlignment="1">
      <alignment horizontal="right"/>
    </xf>
    <xf numFmtId="49" fontId="44" fillId="2" borderId="1" xfId="0" applyNumberFormat="1" applyFont="1" applyFill="1" applyBorder="1" applyAlignment="1">
      <alignment horizontal="center" vertical="center"/>
    </xf>
    <xf numFmtId="181" fontId="25" fillId="3" borderId="51" xfId="13" applyFont="1" applyFill="1" applyBorder="1" applyAlignment="1">
      <alignment horizontal="center" vertical="center" wrapText="1"/>
    </xf>
    <xf numFmtId="49" fontId="44" fillId="2" borderId="51" xfId="0" applyNumberFormat="1" applyFont="1" applyFill="1" applyBorder="1" applyAlignment="1">
      <alignment horizontal="left" vertical="center"/>
    </xf>
    <xf numFmtId="165" fontId="47" fillId="2" borderId="51" xfId="0" applyNumberFormat="1" applyFont="1" applyFill="1" applyBorder="1" applyAlignment="1">
      <alignment horizontal="right" vertical="center"/>
    </xf>
    <xf numFmtId="49" fontId="47" fillId="2" borderId="51" xfId="0" applyNumberFormat="1" applyFont="1" applyFill="1" applyBorder="1" applyAlignment="1">
      <alignment horizontal="left" vertical="center"/>
    </xf>
    <xf numFmtId="183" fontId="47" fillId="2" borderId="51" xfId="0" applyNumberFormat="1" applyFont="1" applyFill="1" applyBorder="1" applyAlignment="1">
      <alignment horizontal="left" vertical="center"/>
    </xf>
    <xf numFmtId="0" fontId="44" fillId="2" borderId="1" xfId="0" applyFont="1" applyFill="1" applyBorder="1" applyAlignment="1">
      <alignment horizontal="center" vertical="center" wrapText="1"/>
    </xf>
    <xf numFmtId="3" fontId="44" fillId="2" borderId="1" xfId="0" applyNumberFormat="1" applyFont="1" applyFill="1" applyBorder="1" applyAlignment="1">
      <alignment horizontal="right" vertical="center"/>
    </xf>
    <xf numFmtId="186" fontId="31" fillId="0" borderId="51" xfId="1" applyNumberFormat="1" applyFont="1" applyFill="1" applyBorder="1" applyAlignment="1">
      <alignment horizontal="right" vertical="top" wrapText="1"/>
    </xf>
    <xf numFmtId="165" fontId="44" fillId="2" borderId="1" xfId="0" applyNumberFormat="1" applyFont="1" applyFill="1" applyBorder="1" applyAlignment="1">
      <alignment horizontal="right" vertical="center"/>
    </xf>
    <xf numFmtId="186" fontId="29" fillId="0" borderId="51" xfId="1" applyNumberFormat="1" applyFont="1" applyFill="1" applyBorder="1" applyAlignment="1">
      <alignment horizontal="right" vertical="top" wrapText="1"/>
    </xf>
    <xf numFmtId="49" fontId="47" fillId="2" borderId="1" xfId="0" applyNumberFormat="1" applyFont="1" applyFill="1" applyBorder="1" applyAlignment="1">
      <alignment horizontal="left"/>
    </xf>
    <xf numFmtId="183" fontId="47" fillId="2" borderId="1" xfId="0" applyNumberFormat="1" applyFont="1" applyFill="1" applyBorder="1" applyAlignment="1">
      <alignment horizontal="left"/>
    </xf>
    <xf numFmtId="49" fontId="49" fillId="2" borderId="0" xfId="0" applyNumberFormat="1" applyFont="1" applyFill="1" applyAlignment="1">
      <alignment vertical="top"/>
    </xf>
    <xf numFmtId="0" fontId="36" fillId="0" borderId="47" xfId="31" applyFont="1" applyFill="1" applyBorder="1" applyAlignment="1">
      <alignment horizontal="center" vertical="center" wrapText="1"/>
    </xf>
    <xf numFmtId="0" fontId="36" fillId="0" borderId="47" xfId="31" applyFont="1" applyFill="1" applyBorder="1" applyAlignment="1">
      <alignment horizontal="center" vertical="center"/>
    </xf>
    <xf numFmtId="0" fontId="36" fillId="0" borderId="47" xfId="31" applyFont="1" applyFill="1" applyBorder="1" applyAlignment="1">
      <alignment vertical="center"/>
    </xf>
    <xf numFmtId="3" fontId="36" fillId="0" borderId="47" xfId="31" applyNumberFormat="1" applyFont="1" applyFill="1" applyBorder="1" applyAlignment="1">
      <alignment vertical="center"/>
    </xf>
    <xf numFmtId="0" fontId="34" fillId="0" borderId="47" xfId="31" applyFont="1" applyFill="1" applyBorder="1" applyAlignment="1">
      <alignment horizontal="center" vertical="center"/>
    </xf>
    <xf numFmtId="0" fontId="34" fillId="0" borderId="47" xfId="31" applyFont="1" applyFill="1" applyBorder="1" applyAlignment="1">
      <alignment vertical="center"/>
    </xf>
    <xf numFmtId="3" fontId="48" fillId="2" borderId="1" xfId="0" applyNumberFormat="1" applyFont="1" applyFill="1" applyBorder="1" applyAlignment="1">
      <alignment horizontal="right"/>
    </xf>
    <xf numFmtId="0" fontId="34" fillId="0" borderId="47" xfId="5" applyFont="1" applyFill="1" applyBorder="1" applyAlignment="1">
      <alignment vertical="center"/>
    </xf>
    <xf numFmtId="0" fontId="34" fillId="0" borderId="47" xfId="31" applyFont="1" applyFill="1" applyBorder="1" applyAlignment="1">
      <alignment horizontal="left" vertical="center"/>
    </xf>
    <xf numFmtId="1" fontId="34" fillId="0" borderId="47" xfId="5" applyNumberFormat="1" applyFont="1" applyFill="1" applyBorder="1" applyAlignment="1">
      <alignment vertical="center"/>
    </xf>
    <xf numFmtId="2" fontId="34" fillId="0" borderId="47" xfId="5" applyNumberFormat="1" applyFont="1" applyFill="1" applyBorder="1" applyAlignment="1">
      <alignment vertical="center"/>
    </xf>
    <xf numFmtId="0" fontId="34" fillId="0" borderId="47" xfId="31" applyFont="1" applyFill="1" applyBorder="1" applyAlignment="1">
      <alignment vertical="center" wrapText="1"/>
    </xf>
    <xf numFmtId="1" fontId="36" fillId="0" borderId="47" xfId="5" applyNumberFormat="1" applyFont="1" applyFill="1" applyBorder="1" applyAlignment="1">
      <alignment vertical="center"/>
    </xf>
    <xf numFmtId="2" fontId="36" fillId="0" borderId="47" xfId="5" applyNumberFormat="1" applyFont="1" applyFill="1" applyBorder="1" applyAlignment="1">
      <alignment vertical="center"/>
    </xf>
    <xf numFmtId="1" fontId="34" fillId="0" borderId="47" xfId="31" applyNumberFormat="1" applyFont="1" applyFill="1" applyBorder="1" applyAlignment="1">
      <alignment horizontal="left" vertical="center" wrapText="1"/>
    </xf>
    <xf numFmtId="0" fontId="36" fillId="0" borderId="47" xfId="5" applyFont="1" applyFill="1" applyBorder="1" applyAlignment="1">
      <alignment vertical="center"/>
    </xf>
    <xf numFmtId="3" fontId="45" fillId="2" borderId="1" xfId="0" applyNumberFormat="1" applyFont="1" applyFill="1" applyBorder="1" applyAlignment="1">
      <alignment horizontal="right"/>
    </xf>
    <xf numFmtId="49" fontId="49" fillId="2" borderId="54" xfId="0" applyNumberFormat="1" applyFont="1" applyFill="1" applyBorder="1" applyAlignment="1">
      <alignment horizontal="center" vertical="center" wrapText="1"/>
    </xf>
    <xf numFmtId="165" fontId="51" fillId="2" borderId="1" xfId="0" applyNumberFormat="1" applyFont="1" applyFill="1" applyBorder="1" applyAlignment="1">
      <alignment vertical="center"/>
    </xf>
    <xf numFmtId="0" fontId="68" fillId="0" borderId="0" xfId="0" applyFont="1" applyAlignment="1">
      <alignment vertical="center"/>
    </xf>
    <xf numFmtId="49" fontId="51" fillId="2" borderId="1" xfId="0" applyNumberFormat="1" applyFont="1" applyFill="1" applyBorder="1" applyAlignment="1">
      <alignment horizontal="left" vertical="center" wrapText="1"/>
    </xf>
    <xf numFmtId="177" fontId="17" fillId="0" borderId="51" xfId="0" applyNumberFormat="1" applyFont="1" applyFill="1" applyBorder="1" applyAlignment="1">
      <alignment vertical="center"/>
    </xf>
    <xf numFmtId="166" fontId="14" fillId="0" borderId="51" xfId="0" applyNumberFormat="1" applyFont="1" applyFill="1" applyBorder="1" applyAlignment="1">
      <alignment vertical="center" wrapText="1"/>
    </xf>
    <xf numFmtId="194" fontId="17" fillId="0" borderId="51" xfId="10" applyNumberFormat="1" applyFont="1" applyFill="1" applyBorder="1" applyAlignment="1">
      <alignment vertical="center"/>
    </xf>
    <xf numFmtId="166" fontId="14" fillId="0" borderId="51" xfId="0" applyNumberFormat="1" applyFont="1" applyFill="1" applyBorder="1" applyAlignment="1">
      <alignment vertical="center"/>
    </xf>
    <xf numFmtId="0" fontId="0" fillId="0" borderId="0" xfId="0" applyFill="1"/>
    <xf numFmtId="3" fontId="12" fillId="0" borderId="0" xfId="0" applyNumberFormat="1" applyFont="1" applyFill="1" applyBorder="1" applyAlignment="1"/>
    <xf numFmtId="3" fontId="33" fillId="0" borderId="0" xfId="0" applyNumberFormat="1" applyFont="1"/>
    <xf numFmtId="0" fontId="69" fillId="0" borderId="28" xfId="0" applyFont="1" applyFill="1" applyBorder="1" applyAlignment="1">
      <alignment horizontal="left" wrapText="1"/>
    </xf>
    <xf numFmtId="2" fontId="70" fillId="0" borderId="64" xfId="0" applyNumberFormat="1" applyFont="1" applyFill="1" applyBorder="1" applyAlignment="1">
      <alignment horizontal="center" vertical="center" wrapText="1"/>
    </xf>
    <xf numFmtId="0" fontId="70" fillId="0" borderId="64" xfId="0" applyFont="1" applyFill="1" applyBorder="1" applyAlignment="1">
      <alignment horizontal="center" vertical="center" wrapText="1"/>
    </xf>
    <xf numFmtId="0" fontId="70" fillId="0" borderId="28" xfId="0" applyFont="1" applyFill="1" applyBorder="1" applyAlignment="1">
      <alignment horizontal="left" wrapText="1"/>
    </xf>
    <xf numFmtId="1" fontId="72" fillId="0" borderId="51" xfId="0" applyNumberFormat="1" applyFont="1" applyFill="1" applyBorder="1"/>
    <xf numFmtId="0" fontId="70" fillId="0" borderId="28" xfId="0" applyFont="1" applyFill="1" applyBorder="1" applyAlignment="1">
      <alignment horizontal="left" vertical="center" wrapText="1"/>
    </xf>
    <xf numFmtId="2" fontId="69" fillId="0" borderId="64" xfId="0" applyNumberFormat="1" applyFont="1" applyFill="1" applyBorder="1" applyAlignment="1">
      <alignment horizontal="right" wrapText="1"/>
    </xf>
    <xf numFmtId="0" fontId="73" fillId="0" borderId="28" xfId="0" applyFont="1" applyFill="1" applyBorder="1" applyAlignment="1">
      <alignment horizontal="right" wrapText="1"/>
    </xf>
    <xf numFmtId="0" fontId="74" fillId="0" borderId="26" xfId="0" applyFont="1" applyFill="1" applyBorder="1" applyAlignment="1">
      <alignment horizontal="right"/>
    </xf>
    <xf numFmtId="166" fontId="68" fillId="0" borderId="0" xfId="0" applyNumberFormat="1" applyFont="1" applyAlignment="1">
      <alignment vertical="center"/>
    </xf>
    <xf numFmtId="181" fontId="2" fillId="0" borderId="0" xfId="6" applyFill="1"/>
    <xf numFmtId="0" fontId="15" fillId="0" borderId="51" xfId="0" applyNumberFormat="1" applyFont="1" applyFill="1" applyBorder="1" applyAlignment="1">
      <alignment vertical="center" wrapText="1"/>
    </xf>
    <xf numFmtId="193" fontId="17" fillId="0" borderId="51" xfId="3" applyNumberFormat="1" applyFont="1" applyFill="1" applyBorder="1" applyAlignment="1">
      <alignment horizontal="right" vertical="top"/>
    </xf>
    <xf numFmtId="0" fontId="33" fillId="0" borderId="0" xfId="0" applyNumberFormat="1" applyFont="1" applyFill="1"/>
    <xf numFmtId="182" fontId="31" fillId="0" borderId="0" xfId="3" applyNumberFormat="1" applyFont="1" applyFill="1" applyBorder="1" applyAlignment="1">
      <alignment horizontal="right" vertical="top"/>
    </xf>
    <xf numFmtId="182" fontId="29" fillId="0" borderId="0" xfId="3" applyNumberFormat="1" applyFont="1" applyFill="1" applyBorder="1" applyAlignment="1">
      <alignment horizontal="right" vertical="top"/>
    </xf>
    <xf numFmtId="184" fontId="29" fillId="0" borderId="0" xfId="3" applyNumberFormat="1" applyFont="1" applyFill="1" applyBorder="1" applyAlignment="1">
      <alignment horizontal="right" vertical="top"/>
    </xf>
    <xf numFmtId="49" fontId="49" fillId="2" borderId="0" xfId="0" applyNumberFormat="1" applyFont="1" applyFill="1" applyAlignment="1">
      <alignment horizontal="left"/>
    </xf>
    <xf numFmtId="49" fontId="45" fillId="2" borderId="0" xfId="0" applyNumberFormat="1" applyFont="1" applyFill="1" applyAlignment="1">
      <alignment horizontal="left"/>
    </xf>
    <xf numFmtId="49" fontId="49" fillId="2" borderId="0" xfId="0" applyNumberFormat="1" applyFont="1" applyFill="1" applyAlignment="1">
      <alignment horizontal="left" vertical="center"/>
    </xf>
    <xf numFmtId="0" fontId="52" fillId="0" borderId="47" xfId="0" applyFont="1" applyFill="1" applyBorder="1" applyAlignment="1">
      <alignment horizontal="center" vertical="center" wrapText="1"/>
    </xf>
    <xf numFmtId="0" fontId="52" fillId="0" borderId="23" xfId="0" applyFont="1" applyFill="1" applyBorder="1" applyAlignment="1">
      <alignment horizontal="center" vertical="top" wrapText="1"/>
    </xf>
    <xf numFmtId="0" fontId="52" fillId="0" borderId="28" xfId="0" applyFont="1" applyFill="1" applyBorder="1" applyAlignment="1">
      <alignment horizontal="center" vertical="top" wrapText="1"/>
    </xf>
    <xf numFmtId="0" fontId="52" fillId="0" borderId="47" xfId="0" applyFont="1" applyFill="1" applyBorder="1" applyAlignment="1">
      <alignment horizontal="center" vertical="top" wrapText="1"/>
    </xf>
    <xf numFmtId="49" fontId="49" fillId="2" borderId="7" xfId="0" applyNumberFormat="1" applyFont="1" applyFill="1" applyBorder="1" applyAlignment="1">
      <alignment horizontal="center" vertical="center"/>
    </xf>
    <xf numFmtId="49" fontId="49" fillId="2" borderId="8" xfId="0" applyNumberFormat="1" applyFont="1" applyFill="1" applyBorder="1" applyAlignment="1">
      <alignment horizontal="center" vertical="center"/>
    </xf>
    <xf numFmtId="49" fontId="49" fillId="2" borderId="9" xfId="0" applyNumberFormat="1" applyFont="1" applyFill="1" applyBorder="1" applyAlignment="1">
      <alignment horizontal="center" vertical="center"/>
    </xf>
    <xf numFmtId="49" fontId="49" fillId="2" borderId="4" xfId="0" applyNumberFormat="1" applyFont="1" applyFill="1" applyBorder="1" applyAlignment="1">
      <alignment horizontal="center" wrapText="1"/>
    </xf>
    <xf numFmtId="49" fontId="49" fillId="2" borderId="11" xfId="0" applyNumberFormat="1" applyFont="1" applyFill="1" applyBorder="1" applyAlignment="1">
      <alignment horizontal="center" wrapText="1"/>
    </xf>
    <xf numFmtId="49" fontId="49" fillId="2" borderId="10" xfId="0" applyNumberFormat="1" applyFont="1" applyFill="1" applyBorder="1" applyAlignment="1">
      <alignment horizontal="center" wrapText="1"/>
    </xf>
    <xf numFmtId="49" fontId="49" fillId="2" borderId="4" xfId="0" applyNumberFormat="1" applyFont="1" applyFill="1" applyBorder="1" applyAlignment="1">
      <alignment horizontal="center"/>
    </xf>
    <xf numFmtId="49" fontId="49" fillId="2" borderId="10" xfId="0" applyNumberFormat="1" applyFont="1" applyFill="1" applyBorder="1" applyAlignment="1">
      <alignment horizontal="center"/>
    </xf>
    <xf numFmtId="0" fontId="49" fillId="2" borderId="4" xfId="0" applyFont="1" applyFill="1" applyBorder="1" applyAlignment="1">
      <alignment horizontal="center" vertical="center" wrapText="1"/>
    </xf>
    <xf numFmtId="0" fontId="49" fillId="2" borderId="10" xfId="0" applyFont="1" applyFill="1" applyBorder="1" applyAlignment="1">
      <alignment horizontal="center" vertical="center" wrapText="1"/>
    </xf>
    <xf numFmtId="49" fontId="49" fillId="2" borderId="7" xfId="0" applyNumberFormat="1" applyFont="1" applyFill="1" applyBorder="1" applyAlignment="1">
      <alignment horizontal="center" vertical="center" wrapText="1"/>
    </xf>
    <xf numFmtId="49" fontId="49" fillId="2" borderId="9"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45" fillId="2" borderId="0" xfId="0" applyNumberFormat="1" applyFont="1" applyFill="1" applyAlignment="1">
      <alignment horizontal="left" wrapText="1"/>
    </xf>
    <xf numFmtId="0" fontId="45" fillId="2" borderId="0" xfId="0" applyFont="1" applyFill="1" applyAlignment="1">
      <alignment horizontal="left" wrapText="1"/>
    </xf>
    <xf numFmtId="49" fontId="49" fillId="0" borderId="4" xfId="0" applyNumberFormat="1" applyFont="1" applyFill="1" applyBorder="1" applyAlignment="1">
      <alignment horizontal="center" vertical="center"/>
    </xf>
    <xf numFmtId="49" fontId="49" fillId="0" borderId="11" xfId="0" applyNumberFormat="1" applyFont="1" applyFill="1" applyBorder="1" applyAlignment="1">
      <alignment horizontal="center" vertical="center"/>
    </xf>
    <xf numFmtId="49" fontId="49" fillId="0" borderId="10" xfId="0" applyNumberFormat="1" applyFont="1" applyFill="1" applyBorder="1" applyAlignment="1">
      <alignment horizontal="center" vertical="center"/>
    </xf>
    <xf numFmtId="49" fontId="49" fillId="2" borderId="0" xfId="0" applyNumberFormat="1" applyFont="1" applyFill="1" applyAlignment="1">
      <alignment horizontal="left" wrapText="1"/>
    </xf>
    <xf numFmtId="49" fontId="49" fillId="0" borderId="7" xfId="0" applyNumberFormat="1" applyFont="1" applyFill="1" applyBorder="1" applyAlignment="1">
      <alignment horizontal="center" vertical="center" wrapText="1"/>
    </xf>
    <xf numFmtId="49" fontId="49" fillId="0" borderId="8" xfId="0" applyNumberFormat="1" applyFont="1" applyFill="1" applyBorder="1" applyAlignment="1">
      <alignment horizontal="center" vertical="center" wrapText="1"/>
    </xf>
    <xf numFmtId="49" fontId="49" fillId="0" borderId="9" xfId="0" applyNumberFormat="1" applyFont="1" applyFill="1" applyBorder="1" applyAlignment="1">
      <alignment horizontal="center" vertical="center" wrapText="1"/>
    </xf>
    <xf numFmtId="49" fontId="49" fillId="0" borderId="12" xfId="0" applyNumberFormat="1" applyFont="1" applyFill="1" applyBorder="1" applyAlignment="1">
      <alignment horizontal="center" vertical="center"/>
    </xf>
    <xf numFmtId="49" fontId="49" fillId="0" borderId="3" xfId="0" applyNumberFormat="1" applyFont="1" applyFill="1" applyBorder="1" applyAlignment="1">
      <alignment horizontal="center" vertical="center"/>
    </xf>
    <xf numFmtId="49" fontId="49" fillId="0" borderId="14" xfId="0" applyNumberFormat="1" applyFont="1" applyFill="1" applyBorder="1" applyAlignment="1">
      <alignment horizontal="center" vertical="center"/>
    </xf>
    <xf numFmtId="49" fontId="49" fillId="0" borderId="5" xfId="0" applyNumberFormat="1" applyFont="1" applyFill="1" applyBorder="1" applyAlignment="1">
      <alignment horizontal="center" vertical="center"/>
    </xf>
    <xf numFmtId="49" fontId="49" fillId="0" borderId="13" xfId="0" applyNumberFormat="1" applyFont="1" applyFill="1" applyBorder="1" applyAlignment="1">
      <alignment horizontal="center" vertical="center"/>
    </xf>
    <xf numFmtId="49" fontId="49" fillId="0" borderId="6" xfId="0" applyNumberFormat="1" applyFont="1" applyFill="1" applyBorder="1" applyAlignment="1">
      <alignment horizontal="center" vertical="center"/>
    </xf>
    <xf numFmtId="49" fontId="49" fillId="2" borderId="51" xfId="0" applyNumberFormat="1" applyFont="1" applyFill="1" applyBorder="1" applyAlignment="1">
      <alignment horizontal="center" vertical="center" wrapText="1"/>
    </xf>
    <xf numFmtId="49" fontId="49" fillId="2" borderId="51" xfId="0" applyNumberFormat="1" applyFont="1" applyFill="1" applyBorder="1" applyAlignment="1">
      <alignment horizontal="center" wrapText="1"/>
    </xf>
    <xf numFmtId="183" fontId="49" fillId="2" borderId="51" xfId="0" applyNumberFormat="1" applyFont="1" applyFill="1" applyBorder="1" applyAlignment="1">
      <alignment horizontal="center" wrapText="1"/>
    </xf>
    <xf numFmtId="49" fontId="49" fillId="2" borderId="0" xfId="0" applyNumberFormat="1" applyFont="1" applyFill="1" applyAlignment="1">
      <alignment horizontal="left" vertical="top"/>
    </xf>
    <xf numFmtId="49" fontId="49" fillId="2" borderId="8" xfId="0" applyNumberFormat="1" applyFont="1" applyFill="1" applyBorder="1" applyAlignment="1">
      <alignment horizontal="center" vertical="center" wrapText="1"/>
    </xf>
    <xf numFmtId="49" fontId="49" fillId="2" borderId="12" xfId="0" applyNumberFormat="1" applyFont="1" applyFill="1" applyBorder="1" applyAlignment="1">
      <alignment horizontal="center" vertical="center"/>
    </xf>
    <xf numFmtId="49" fontId="49" fillId="2" borderId="3" xfId="0" applyNumberFormat="1" applyFont="1" applyFill="1" applyBorder="1" applyAlignment="1">
      <alignment horizontal="center" vertical="center"/>
    </xf>
    <xf numFmtId="49" fontId="49" fillId="2" borderId="13" xfId="0" applyNumberFormat="1" applyFont="1" applyFill="1" applyBorder="1" applyAlignment="1">
      <alignment horizontal="center" vertical="center"/>
    </xf>
    <xf numFmtId="49" fontId="49" fillId="2" borderId="6" xfId="0" applyNumberFormat="1" applyFont="1" applyFill="1" applyBorder="1" applyAlignment="1">
      <alignment horizontal="center" vertical="center"/>
    </xf>
    <xf numFmtId="49" fontId="49" fillId="2" borderId="4" xfId="0" applyNumberFormat="1" applyFont="1" applyFill="1" applyBorder="1" applyAlignment="1">
      <alignment horizontal="center" vertical="center"/>
    </xf>
    <xf numFmtId="49" fontId="49" fillId="2" borderId="11" xfId="0" applyNumberFormat="1" applyFont="1" applyFill="1" applyBorder="1" applyAlignment="1">
      <alignment horizontal="center" vertical="center"/>
    </xf>
    <xf numFmtId="49" fontId="49" fillId="2" borderId="10" xfId="0" applyNumberFormat="1" applyFont="1" applyFill="1" applyBorder="1" applyAlignment="1">
      <alignment horizontal="center" vertical="center"/>
    </xf>
    <xf numFmtId="49" fontId="49" fillId="2" borderId="4" xfId="0" applyNumberFormat="1" applyFont="1" applyFill="1" applyBorder="1" applyAlignment="1">
      <alignment horizontal="center" vertical="center" wrapText="1"/>
    </xf>
    <xf numFmtId="49" fontId="49" fillId="2" borderId="10" xfId="0" applyNumberFormat="1" applyFont="1" applyFill="1" applyBorder="1" applyAlignment="1">
      <alignment horizontal="center" vertical="center" wrapText="1"/>
    </xf>
    <xf numFmtId="0" fontId="45" fillId="2" borderId="53" xfId="0" applyFont="1" applyFill="1" applyBorder="1" applyAlignment="1">
      <alignment horizontal="left" vertical="center" wrapText="1"/>
    </xf>
    <xf numFmtId="49" fontId="45" fillId="2" borderId="53" xfId="0" applyNumberFormat="1" applyFont="1" applyFill="1" applyBorder="1" applyAlignment="1">
      <alignment horizontal="left" vertical="center" wrapText="1"/>
    </xf>
    <xf numFmtId="49" fontId="49" fillId="2" borderId="0" xfId="0" applyNumberFormat="1" applyFont="1" applyFill="1" applyAlignment="1">
      <alignment horizontal="left" vertical="top" wrapText="1"/>
    </xf>
    <xf numFmtId="49" fontId="49" fillId="2" borderId="7" xfId="0" applyNumberFormat="1" applyFont="1" applyFill="1" applyBorder="1" applyAlignment="1">
      <alignment horizontal="center"/>
    </xf>
    <xf numFmtId="49" fontId="49" fillId="2" borderId="9" xfId="0" applyNumberFormat="1" applyFont="1" applyFill="1" applyBorder="1" applyAlignment="1">
      <alignment horizontal="center"/>
    </xf>
    <xf numFmtId="49" fontId="49" fillId="2" borderId="51" xfId="0" applyNumberFormat="1" applyFont="1" applyFill="1" applyBorder="1" applyAlignment="1">
      <alignment horizontal="center" vertical="center"/>
    </xf>
    <xf numFmtId="49" fontId="49" fillId="2" borderId="7" xfId="0" applyNumberFormat="1" applyFont="1" applyFill="1" applyBorder="1" applyAlignment="1">
      <alignment horizontal="right"/>
    </xf>
    <xf numFmtId="49" fontId="49" fillId="2" borderId="9" xfId="0" applyNumberFormat="1" applyFont="1" applyFill="1" applyBorder="1" applyAlignment="1">
      <alignment horizontal="right"/>
    </xf>
    <xf numFmtId="49" fontId="49" fillId="2" borderId="11" xfId="0" applyNumberFormat="1" applyFont="1" applyFill="1" applyBorder="1" applyAlignment="1">
      <alignment horizontal="center"/>
    </xf>
    <xf numFmtId="49" fontId="7" fillId="2" borderId="0" xfId="0" applyNumberFormat="1" applyFont="1" applyFill="1" applyBorder="1" applyAlignment="1">
      <alignment horizontal="right" vertical="center"/>
    </xf>
    <xf numFmtId="49" fontId="49" fillId="2" borderId="0" xfId="0" applyNumberFormat="1" applyFont="1" applyFill="1" applyBorder="1" applyAlignment="1">
      <alignment horizontal="right" vertical="center"/>
    </xf>
    <xf numFmtId="49" fontId="49" fillId="2" borderId="11" xfId="0" applyNumberFormat="1" applyFont="1" applyFill="1" applyBorder="1" applyAlignment="1">
      <alignment horizontal="center" vertical="center" wrapText="1"/>
    </xf>
    <xf numFmtId="49" fontId="45" fillId="2" borderId="53" xfId="0" applyNumberFormat="1" applyFont="1" applyFill="1" applyBorder="1" applyAlignment="1">
      <alignment horizontal="left"/>
    </xf>
    <xf numFmtId="49" fontId="49" fillId="2" borderId="15" xfId="0" applyNumberFormat="1" applyFont="1" applyFill="1" applyBorder="1" applyAlignment="1">
      <alignment horizontal="left" wrapText="1"/>
    </xf>
    <xf numFmtId="49" fontId="49" fillId="2" borderId="16" xfId="0" applyNumberFormat="1" applyFont="1" applyFill="1" applyBorder="1" applyAlignment="1">
      <alignment horizontal="left" wrapText="1"/>
    </xf>
    <xf numFmtId="49" fontId="49" fillId="2" borderId="17" xfId="0" applyNumberFormat="1" applyFont="1" applyFill="1" applyBorder="1" applyAlignment="1">
      <alignment horizontal="left" wrapText="1"/>
    </xf>
    <xf numFmtId="49" fontId="45" fillId="2" borderId="15" xfId="0" applyNumberFormat="1" applyFont="1" applyFill="1" applyBorder="1" applyAlignment="1">
      <alignment horizontal="left" wrapText="1"/>
    </xf>
    <xf numFmtId="49" fontId="45" fillId="2" borderId="16" xfId="0" applyNumberFormat="1" applyFont="1" applyFill="1" applyBorder="1" applyAlignment="1">
      <alignment horizontal="left" wrapText="1"/>
    </xf>
    <xf numFmtId="49" fontId="45" fillId="2" borderId="17" xfId="0" applyNumberFormat="1" applyFont="1" applyFill="1" applyBorder="1" applyAlignment="1">
      <alignment horizontal="left" wrapText="1"/>
    </xf>
    <xf numFmtId="49" fontId="49" fillId="2" borderId="52" xfId="0" applyNumberFormat="1" applyFont="1" applyFill="1" applyBorder="1" applyAlignment="1">
      <alignment horizontal="right" vertical="center" wrapText="1"/>
    </xf>
    <xf numFmtId="49" fontId="45" fillId="2" borderId="15" xfId="0" applyNumberFormat="1" applyFont="1" applyFill="1" applyBorder="1" applyAlignment="1">
      <alignment horizontal="left"/>
    </xf>
    <xf numFmtId="49" fontId="45" fillId="2" borderId="16" xfId="0" applyNumberFormat="1" applyFont="1" applyFill="1" applyBorder="1" applyAlignment="1">
      <alignment horizontal="left"/>
    </xf>
    <xf numFmtId="49" fontId="45" fillId="2" borderId="17" xfId="0" applyNumberFormat="1" applyFont="1" applyFill="1" applyBorder="1" applyAlignment="1">
      <alignment horizontal="left"/>
    </xf>
    <xf numFmtId="0" fontId="30" fillId="0" borderId="62" xfId="0" applyNumberFormat="1" applyFont="1" applyFill="1" applyBorder="1" applyAlignment="1">
      <alignment horizontal="left" vertical="center" wrapText="1"/>
    </xf>
    <xf numFmtId="49" fontId="66" fillId="2" borderId="38" xfId="0" applyNumberFormat="1" applyFont="1" applyFill="1" applyBorder="1" applyAlignment="1">
      <alignment horizontal="left" vertical="center" wrapText="1"/>
    </xf>
    <xf numFmtId="49" fontId="45" fillId="2" borderId="0" xfId="0" applyNumberFormat="1" applyFont="1" applyFill="1" applyAlignment="1">
      <alignment horizontal="left" vertical="center"/>
    </xf>
    <xf numFmtId="49" fontId="45" fillId="2" borderId="0" xfId="0" applyNumberFormat="1" applyFont="1" applyFill="1" applyAlignment="1">
      <alignment horizontal="left" vertical="center" wrapText="1"/>
    </xf>
    <xf numFmtId="49" fontId="49" fillId="2" borderId="12" xfId="0" applyNumberFormat="1" applyFont="1" applyFill="1" applyBorder="1" applyAlignment="1">
      <alignment horizontal="center" vertical="center" wrapText="1"/>
    </xf>
    <xf numFmtId="49" fontId="49" fillId="2" borderId="3" xfId="0" applyNumberFormat="1" applyFont="1" applyFill="1" applyBorder="1" applyAlignment="1">
      <alignment horizontal="center" vertical="center" wrapText="1"/>
    </xf>
    <xf numFmtId="49" fontId="49" fillId="2" borderId="13" xfId="0" applyNumberFormat="1" applyFont="1" applyFill="1" applyBorder="1" applyAlignment="1">
      <alignment horizontal="center" vertical="center" wrapText="1"/>
    </xf>
    <xf numFmtId="49" fontId="49" fillId="2" borderId="6" xfId="0" applyNumberFormat="1" applyFont="1" applyFill="1" applyBorder="1" applyAlignment="1">
      <alignment horizontal="center" vertical="center" wrapText="1"/>
    </xf>
    <xf numFmtId="0" fontId="49" fillId="2" borderId="7" xfId="0" applyFont="1" applyFill="1" applyBorder="1" applyAlignment="1">
      <alignment horizontal="center" vertical="center" wrapText="1"/>
    </xf>
    <xf numFmtId="0" fontId="49" fillId="2" borderId="9" xfId="0" applyFont="1" applyFill="1" applyBorder="1" applyAlignment="1">
      <alignment horizontal="center" vertical="center" wrapText="1"/>
    </xf>
    <xf numFmtId="49" fontId="49" fillId="2" borderId="60" xfId="0" applyNumberFormat="1" applyFont="1" applyFill="1" applyBorder="1" applyAlignment="1">
      <alignment horizontal="center" wrapText="1"/>
    </xf>
    <xf numFmtId="49" fontId="49" fillId="2" borderId="61" xfId="0" applyNumberFormat="1" applyFont="1" applyFill="1" applyBorder="1" applyAlignment="1">
      <alignment horizontal="center" wrapText="1"/>
    </xf>
    <xf numFmtId="49" fontId="49" fillId="2" borderId="55" xfId="0" applyNumberFormat="1" applyFont="1" applyFill="1" applyBorder="1" applyAlignment="1">
      <alignment horizontal="center" wrapText="1"/>
    </xf>
    <xf numFmtId="0" fontId="7" fillId="2" borderId="7" xfId="0" applyFont="1" applyFill="1" applyBorder="1" applyAlignment="1">
      <alignment horizontal="center" vertical="center" wrapText="1"/>
    </xf>
    <xf numFmtId="49" fontId="44" fillId="2" borderId="7" xfId="0" applyNumberFormat="1" applyFont="1" applyFill="1" applyBorder="1" applyAlignment="1">
      <alignment horizontal="center" vertical="center" wrapText="1"/>
    </xf>
    <xf numFmtId="49" fontId="44" fillId="2" borderId="8" xfId="0" applyNumberFormat="1" applyFont="1" applyFill="1" applyBorder="1" applyAlignment="1">
      <alignment horizontal="center" vertical="center" wrapText="1"/>
    </xf>
    <xf numFmtId="49" fontId="44" fillId="2" borderId="9" xfId="0" applyNumberFormat="1" applyFont="1" applyFill="1" applyBorder="1" applyAlignment="1">
      <alignment horizontal="center" vertical="center" wrapText="1"/>
    </xf>
    <xf numFmtId="49" fontId="7" fillId="2" borderId="0" xfId="0" applyNumberFormat="1" applyFont="1" applyFill="1" applyAlignment="1">
      <alignment horizontal="center" vertical="center" wrapText="1"/>
    </xf>
    <xf numFmtId="49" fontId="49" fillId="2" borderId="0" xfId="0" applyNumberFormat="1" applyFont="1" applyFill="1" applyAlignment="1">
      <alignment horizontal="center" vertical="center" wrapText="1"/>
    </xf>
    <xf numFmtId="49" fontId="49" fillId="2" borderId="2" xfId="0" applyNumberFormat="1" applyFont="1" applyFill="1" applyBorder="1" applyAlignment="1">
      <alignment horizontal="center" vertical="center"/>
    </xf>
    <xf numFmtId="0" fontId="49" fillId="2" borderId="2" xfId="0" applyFont="1" applyFill="1" applyBorder="1" applyAlignment="1">
      <alignment horizontal="center" vertical="center" wrapText="1"/>
    </xf>
    <xf numFmtId="0" fontId="49" fillId="2" borderId="3" xfId="0" applyFont="1" applyFill="1" applyBorder="1" applyAlignment="1">
      <alignment horizontal="center" vertical="center" wrapText="1"/>
    </xf>
    <xf numFmtId="49" fontId="44" fillId="2" borderId="7" xfId="0" applyNumberFormat="1" applyFont="1" applyFill="1" applyBorder="1" applyAlignment="1">
      <alignment horizontal="center" vertical="center"/>
    </xf>
    <xf numFmtId="49" fontId="44" fillId="2" borderId="9" xfId="0" applyNumberFormat="1" applyFont="1" applyFill="1" applyBorder="1" applyAlignment="1">
      <alignment horizontal="center" vertical="center"/>
    </xf>
    <xf numFmtId="49" fontId="7" fillId="2" borderId="4" xfId="0" applyNumberFormat="1" applyFont="1" applyFill="1" applyBorder="1" applyAlignment="1">
      <alignment horizontal="center"/>
    </xf>
    <xf numFmtId="49" fontId="44" fillId="2" borderId="11" xfId="0" applyNumberFormat="1" applyFont="1" applyFill="1" applyBorder="1" applyAlignment="1">
      <alignment horizontal="center"/>
    </xf>
    <xf numFmtId="49" fontId="44" fillId="2" borderId="10" xfId="0" applyNumberFormat="1" applyFont="1" applyFill="1" applyBorder="1" applyAlignment="1">
      <alignment horizontal="center"/>
    </xf>
    <xf numFmtId="49" fontId="44" fillId="2" borderId="4" xfId="0" applyNumberFormat="1" applyFont="1" applyFill="1" applyBorder="1" applyAlignment="1">
      <alignment horizontal="center"/>
    </xf>
    <xf numFmtId="49" fontId="7" fillId="2" borderId="4" xfId="0" applyNumberFormat="1" applyFont="1" applyFill="1" applyBorder="1" applyAlignment="1">
      <alignment horizontal="center" vertical="center"/>
    </xf>
    <xf numFmtId="49" fontId="44" fillId="2" borderId="11" xfId="0" applyNumberFormat="1" applyFont="1" applyFill="1" applyBorder="1" applyAlignment="1">
      <alignment horizontal="center" vertical="center"/>
    </xf>
    <xf numFmtId="49" fontId="44" fillId="2" borderId="10" xfId="0" applyNumberFormat="1" applyFont="1" applyFill="1" applyBorder="1" applyAlignment="1">
      <alignment horizontal="center" vertical="center"/>
    </xf>
    <xf numFmtId="49" fontId="44" fillId="2" borderId="4" xfId="0" applyNumberFormat="1" applyFont="1" applyFill="1" applyBorder="1" applyAlignment="1">
      <alignment horizontal="center" vertical="center"/>
    </xf>
    <xf numFmtId="49" fontId="44" fillId="2" borderId="51" xfId="0" applyNumberFormat="1" applyFont="1" applyFill="1" applyBorder="1" applyAlignment="1">
      <alignment horizontal="center" vertical="center" wrapText="1"/>
    </xf>
    <xf numFmtId="181" fontId="25" fillId="3" borderId="51" xfId="13" applyFont="1" applyFill="1" applyBorder="1" applyAlignment="1">
      <alignment horizontal="center" vertical="center" wrapText="1"/>
    </xf>
    <xf numFmtId="49" fontId="44" fillId="2" borderId="4" xfId="0" applyNumberFormat="1" applyFont="1" applyFill="1" applyBorder="1" applyAlignment="1">
      <alignment horizontal="center" vertical="center" wrapText="1"/>
    </xf>
    <xf numFmtId="49" fontId="44" fillId="2" borderId="10" xfId="0" applyNumberFormat="1"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10" xfId="0" applyFont="1" applyFill="1" applyBorder="1" applyAlignment="1">
      <alignment horizontal="center" vertical="center" wrapText="1"/>
    </xf>
    <xf numFmtId="49" fontId="7" fillId="2" borderId="52" xfId="0" applyNumberFormat="1" applyFont="1" applyFill="1" applyBorder="1" applyAlignment="1">
      <alignment horizontal="right" vertical="center" wrapText="1"/>
    </xf>
    <xf numFmtId="49" fontId="49" fillId="2" borderId="52"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0" fontId="36" fillId="0" borderId="47" xfId="31" applyFont="1" applyFill="1" applyBorder="1" applyAlignment="1">
      <alignment horizontal="center" vertical="center" wrapText="1"/>
    </xf>
    <xf numFmtId="0" fontId="30" fillId="0" borderId="47" xfId="0" applyFont="1" applyBorder="1" applyAlignment="1">
      <alignment horizontal="center" wrapText="1"/>
    </xf>
    <xf numFmtId="183" fontId="30" fillId="0" borderId="47" xfId="0" applyNumberFormat="1" applyFont="1" applyBorder="1" applyAlignment="1">
      <alignment horizontal="center" wrapText="1"/>
    </xf>
    <xf numFmtId="0" fontId="36" fillId="0" borderId="47" xfId="31" applyFont="1" applyFill="1" applyBorder="1" applyAlignment="1">
      <alignment horizontal="center" vertical="center"/>
    </xf>
    <xf numFmtId="0" fontId="30" fillId="0" borderId="0" xfId="0" applyFont="1" applyAlignment="1">
      <alignment horizontal="left" vertical="center" wrapText="1"/>
    </xf>
    <xf numFmtId="0" fontId="36" fillId="0" borderId="60" xfId="31" applyFont="1" applyFill="1" applyBorder="1" applyAlignment="1">
      <alignment horizontal="left" vertical="center" wrapText="1"/>
    </xf>
    <xf numFmtId="0" fontId="36" fillId="0" borderId="63" xfId="31" applyFont="1" applyFill="1" applyBorder="1" applyAlignment="1">
      <alignment horizontal="left" vertical="center" wrapText="1"/>
    </xf>
    <xf numFmtId="39" fontId="70" fillId="0" borderId="56" xfId="10" applyNumberFormat="1" applyFont="1" applyFill="1" applyBorder="1" applyAlignment="1">
      <alignment horizontal="right" vertical="center" wrapText="1"/>
    </xf>
    <xf numFmtId="39" fontId="70" fillId="0" borderId="26" xfId="10" applyNumberFormat="1" applyFont="1" applyFill="1" applyBorder="1" applyAlignment="1">
      <alignment horizontal="right" vertical="center" wrapText="1"/>
    </xf>
    <xf numFmtId="39" fontId="70" fillId="0" borderId="65" xfId="10" applyNumberFormat="1" applyFont="1" applyFill="1" applyBorder="1" applyAlignment="1">
      <alignment horizontal="right" vertical="center" wrapText="1"/>
    </xf>
    <xf numFmtId="170" fontId="51" fillId="2" borderId="7" xfId="0" applyNumberFormat="1" applyFont="1" applyFill="1" applyBorder="1" applyAlignment="1">
      <alignment vertical="center"/>
    </xf>
    <xf numFmtId="170" fontId="51" fillId="2" borderId="8" xfId="0" applyNumberFormat="1" applyFont="1" applyFill="1" applyBorder="1" applyAlignment="1">
      <alignment vertical="center"/>
    </xf>
    <xf numFmtId="170" fontId="51" fillId="2" borderId="9" xfId="0" applyNumberFormat="1" applyFont="1" applyFill="1" applyBorder="1" applyAlignment="1">
      <alignment vertical="center"/>
    </xf>
    <xf numFmtId="49" fontId="7" fillId="2" borderId="4"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0" fontId="68" fillId="0" borderId="53" xfId="0" applyFont="1" applyBorder="1" applyAlignment="1">
      <alignment horizontal="left" vertical="center" wrapText="1"/>
    </xf>
    <xf numFmtId="0" fontId="45" fillId="2" borderId="0" xfId="0" applyFont="1" applyFill="1" applyAlignment="1">
      <alignment horizontal="left"/>
    </xf>
    <xf numFmtId="49" fontId="49" fillId="2" borderId="4" xfId="0" applyNumberFormat="1" applyFont="1" applyFill="1" applyBorder="1" applyAlignment="1">
      <alignment horizontal="left" vertical="center"/>
    </xf>
    <xf numFmtId="49" fontId="49" fillId="2" borderId="11" xfId="0" applyNumberFormat="1" applyFont="1" applyFill="1" applyBorder="1" applyAlignment="1">
      <alignment horizontal="left" vertical="center"/>
    </xf>
    <xf numFmtId="49" fontId="49" fillId="2" borderId="10" xfId="0" applyNumberFormat="1" applyFont="1" applyFill="1" applyBorder="1" applyAlignment="1">
      <alignment horizontal="left" vertical="center"/>
    </xf>
    <xf numFmtId="0" fontId="15" fillId="4" borderId="33" xfId="0" applyNumberFormat="1" applyFont="1" applyFill="1" applyBorder="1" applyAlignment="1">
      <alignment horizontal="left" vertical="center" wrapText="1"/>
    </xf>
    <xf numFmtId="0" fontId="15" fillId="4" borderId="35" xfId="0" applyNumberFormat="1" applyFont="1" applyFill="1" applyBorder="1" applyAlignment="1">
      <alignment horizontal="left" vertical="center" wrapText="1"/>
    </xf>
    <xf numFmtId="0" fontId="15" fillId="0" borderId="30"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15" fillId="0" borderId="31" xfId="0" applyNumberFormat="1" applyFont="1" applyFill="1" applyBorder="1" applyAlignment="1">
      <alignment horizontal="center" vertical="center"/>
    </xf>
    <xf numFmtId="0" fontId="15" fillId="0" borderId="51" xfId="0" applyNumberFormat="1" applyFont="1" applyFill="1" applyBorder="1" applyAlignment="1">
      <alignment horizontal="center" vertical="center"/>
    </xf>
    <xf numFmtId="0" fontId="28" fillId="0" borderId="31" xfId="0" applyNumberFormat="1" applyFont="1" applyFill="1" applyBorder="1" applyAlignment="1">
      <alignment horizontal="center" vertical="center"/>
    </xf>
    <xf numFmtId="0" fontId="28" fillId="0" borderId="32" xfId="0" applyNumberFormat="1" applyFont="1" applyFill="1" applyBorder="1" applyAlignment="1">
      <alignment horizontal="center" vertical="center"/>
    </xf>
    <xf numFmtId="0" fontId="15" fillId="0" borderId="33" xfId="0" applyNumberFormat="1" applyFont="1" applyFill="1" applyBorder="1" applyAlignment="1">
      <alignment horizontal="left" vertical="center" wrapText="1"/>
    </xf>
    <xf numFmtId="49" fontId="28" fillId="4" borderId="38" xfId="6" applyNumberFormat="1" applyFont="1" applyFill="1" applyBorder="1" applyAlignment="1">
      <alignment horizontal="left" vertical="center"/>
    </xf>
    <xf numFmtId="0" fontId="28" fillId="4" borderId="38" xfId="6" applyNumberFormat="1" applyFont="1" applyFill="1" applyBorder="1" applyAlignment="1">
      <alignment horizontal="left" vertical="center"/>
    </xf>
    <xf numFmtId="0" fontId="15" fillId="5" borderId="39" xfId="0" applyNumberFormat="1" applyFont="1" applyFill="1" applyBorder="1" applyAlignment="1">
      <alignment horizontal="center" vertical="center" wrapText="1"/>
    </xf>
    <xf numFmtId="0" fontId="15" fillId="5" borderId="43" xfId="0" applyNumberFormat="1" applyFont="1" applyFill="1" applyBorder="1" applyAlignment="1">
      <alignment horizontal="center" vertical="center" wrapText="1"/>
    </xf>
    <xf numFmtId="0" fontId="15" fillId="5" borderId="40" xfId="0" applyNumberFormat="1" applyFont="1" applyFill="1" applyBorder="1" applyAlignment="1">
      <alignment horizontal="center" vertical="center"/>
    </xf>
    <xf numFmtId="0" fontId="15" fillId="5" borderId="41" xfId="0" applyNumberFormat="1" applyFont="1" applyFill="1" applyBorder="1" applyAlignment="1">
      <alignment horizontal="center" vertical="center"/>
    </xf>
    <xf numFmtId="0" fontId="15" fillId="5" borderId="42" xfId="0" applyNumberFormat="1" applyFont="1" applyFill="1" applyBorder="1" applyAlignment="1">
      <alignment horizontal="center" vertical="center"/>
    </xf>
    <xf numFmtId="0" fontId="30" fillId="0" borderId="0" xfId="0" applyNumberFormat="1" applyFont="1" applyBorder="1" applyAlignment="1">
      <alignment horizontal="left" vertical="top"/>
    </xf>
    <xf numFmtId="0" fontId="52" fillId="7" borderId="51" xfId="11" applyFont="1" applyFill="1" applyBorder="1" applyAlignment="1">
      <alignment horizontal="center" vertical="center"/>
    </xf>
    <xf numFmtId="0" fontId="15" fillId="0" borderId="51" xfId="0" applyNumberFormat="1" applyFont="1" applyBorder="1" applyAlignment="1">
      <alignment horizontal="center"/>
    </xf>
    <xf numFmtId="0" fontId="52" fillId="7" borderId="51" xfId="11" applyFont="1" applyFill="1" applyBorder="1" applyAlignment="1">
      <alignment horizontal="center" vertical="center" wrapText="1"/>
    </xf>
    <xf numFmtId="0" fontId="52" fillId="7" borderId="51" xfId="0" applyFont="1" applyFill="1" applyBorder="1" applyAlignment="1">
      <alignment horizontal="center" vertical="center" wrapText="1"/>
    </xf>
    <xf numFmtId="0" fontId="52" fillId="7" borderId="56" xfId="11" applyFont="1" applyFill="1" applyBorder="1" applyAlignment="1">
      <alignment horizontal="center" vertical="center" wrapText="1"/>
    </xf>
    <xf numFmtId="0" fontId="52" fillId="7" borderId="28" xfId="11" applyFont="1" applyFill="1" applyBorder="1" applyAlignment="1">
      <alignment horizontal="center" vertical="center" wrapText="1"/>
    </xf>
    <xf numFmtId="0" fontId="15" fillId="7" borderId="56" xfId="0" applyNumberFormat="1" applyFont="1" applyFill="1" applyBorder="1" applyAlignment="1">
      <alignment horizontal="center" vertical="center" wrapText="1"/>
    </xf>
    <xf numFmtId="0" fontId="15" fillId="7" borderId="28" xfId="0" applyNumberFormat="1" applyFont="1" applyFill="1" applyBorder="1" applyAlignment="1">
      <alignment horizontal="center" vertical="center" wrapText="1"/>
    </xf>
    <xf numFmtId="49" fontId="28" fillId="4" borderId="0" xfId="6" applyNumberFormat="1" applyFont="1" applyFill="1" applyBorder="1" applyAlignment="1">
      <alignment horizontal="left" vertical="center"/>
    </xf>
    <xf numFmtId="0" fontId="28" fillId="4" borderId="0" xfId="6" applyNumberFormat="1" applyFont="1" applyFill="1" applyBorder="1" applyAlignment="1">
      <alignment horizontal="left" vertical="center"/>
    </xf>
    <xf numFmtId="0" fontId="28" fillId="4" borderId="29" xfId="6" applyNumberFormat="1" applyFont="1" applyFill="1" applyBorder="1" applyAlignment="1">
      <alignment horizontal="center" vertical="center"/>
    </xf>
    <xf numFmtId="0" fontId="15" fillId="7" borderId="57" xfId="0" applyNumberFormat="1" applyFont="1" applyFill="1" applyBorder="1" applyAlignment="1">
      <alignment horizontal="center" vertical="center" wrapText="1"/>
    </xf>
    <xf numFmtId="0" fontId="15" fillId="7" borderId="58" xfId="0" applyNumberFormat="1" applyFont="1" applyFill="1" applyBorder="1" applyAlignment="1">
      <alignment horizontal="center" vertical="center" wrapText="1"/>
    </xf>
    <xf numFmtId="0" fontId="15" fillId="7" borderId="59" xfId="0" applyNumberFormat="1" applyFont="1" applyFill="1" applyBorder="1" applyAlignment="1">
      <alignment horizontal="center" vertical="center" wrapText="1"/>
    </xf>
    <xf numFmtId="0" fontId="15" fillId="7" borderId="51" xfId="0" applyNumberFormat="1" applyFont="1" applyFill="1" applyBorder="1" applyAlignment="1">
      <alignment horizontal="center" vertical="center" wrapText="1"/>
    </xf>
    <xf numFmtId="0" fontId="15" fillId="7" borderId="60" xfId="0" applyNumberFormat="1" applyFont="1" applyFill="1" applyBorder="1" applyAlignment="1">
      <alignment horizontal="center" vertical="center" wrapText="1"/>
    </xf>
    <xf numFmtId="0" fontId="15" fillId="7" borderId="55" xfId="0" applyNumberFormat="1" applyFont="1" applyFill="1" applyBorder="1" applyAlignment="1">
      <alignment horizontal="center" vertical="center" wrapText="1"/>
    </xf>
    <xf numFmtId="0" fontId="52" fillId="7" borderId="60" xfId="11" applyFont="1" applyFill="1" applyBorder="1" applyAlignment="1">
      <alignment horizontal="center" vertical="center"/>
    </xf>
    <xf numFmtId="0" fontId="52" fillId="7" borderId="55" xfId="11" applyFont="1" applyFill="1" applyBorder="1" applyAlignment="1">
      <alignment horizontal="center" vertical="center"/>
    </xf>
    <xf numFmtId="0" fontId="52" fillId="7" borderId="60" xfId="11" applyFont="1" applyFill="1" applyBorder="1" applyAlignment="1">
      <alignment horizontal="center" vertical="center" wrapText="1"/>
    </xf>
    <xf numFmtId="0" fontId="52" fillId="7" borderId="55" xfId="11" applyFont="1" applyFill="1" applyBorder="1" applyAlignment="1">
      <alignment horizontal="center" vertical="center" wrapText="1"/>
    </xf>
    <xf numFmtId="0" fontId="15" fillId="7" borderId="0" xfId="0" applyNumberFormat="1" applyFont="1" applyFill="1" applyBorder="1" applyAlignment="1">
      <alignment horizontal="center" vertical="center" wrapText="1"/>
    </xf>
    <xf numFmtId="0" fontId="15" fillId="7" borderId="38" xfId="0" applyNumberFormat="1" applyFont="1" applyFill="1" applyBorder="1" applyAlignment="1">
      <alignment horizontal="center" vertical="center" wrapText="1"/>
    </xf>
    <xf numFmtId="0" fontId="15" fillId="7" borderId="51" xfId="0" applyNumberFormat="1" applyFont="1" applyFill="1" applyBorder="1" applyAlignment="1">
      <alignment horizontal="center"/>
    </xf>
    <xf numFmtId="181" fontId="14" fillId="0" borderId="0" xfId="6" applyFont="1" applyAlignment="1">
      <alignment horizontal="left" wrapText="1"/>
    </xf>
    <xf numFmtId="0" fontId="15" fillId="7" borderId="61" xfId="0" applyNumberFormat="1" applyFont="1" applyFill="1" applyBorder="1" applyAlignment="1">
      <alignment horizontal="center" vertical="center" wrapText="1"/>
    </xf>
    <xf numFmtId="0" fontId="33" fillId="0" borderId="0" xfId="0" applyFont="1" applyFill="1" applyAlignment="1">
      <alignment horizontal="left"/>
    </xf>
    <xf numFmtId="49" fontId="28" fillId="0" borderId="0" xfId="6" applyNumberFormat="1" applyFont="1" applyFill="1" applyBorder="1" applyAlignment="1">
      <alignment horizontal="left" vertical="center"/>
    </xf>
    <xf numFmtId="0" fontId="28" fillId="0" borderId="0" xfId="6" applyNumberFormat="1" applyFont="1" applyFill="1" applyBorder="1" applyAlignment="1">
      <alignment horizontal="left" vertical="center"/>
    </xf>
    <xf numFmtId="0" fontId="15" fillId="0" borderId="51" xfId="0" applyNumberFormat="1" applyFont="1" applyFill="1" applyBorder="1" applyAlignment="1">
      <alignment horizontal="center" vertical="center" wrapText="1"/>
    </xf>
    <xf numFmtId="0" fontId="15" fillId="0" borderId="60" xfId="0" applyNumberFormat="1" applyFont="1" applyFill="1" applyBorder="1" applyAlignment="1">
      <alignment horizontal="center" vertical="center" wrapText="1"/>
    </xf>
    <xf numFmtId="0" fontId="15" fillId="0" borderId="61" xfId="0" applyNumberFormat="1" applyFont="1" applyFill="1" applyBorder="1" applyAlignment="1">
      <alignment horizontal="center" vertical="center" wrapText="1"/>
    </xf>
    <xf numFmtId="0" fontId="15" fillId="0" borderId="55" xfId="0" applyNumberFormat="1" applyFont="1" applyFill="1" applyBorder="1" applyAlignment="1">
      <alignment horizontal="center" vertical="center" wrapText="1"/>
    </xf>
    <xf numFmtId="0" fontId="30" fillId="0" borderId="0" xfId="0" applyNumberFormat="1" applyFont="1" applyFill="1" applyBorder="1" applyAlignment="1">
      <alignment horizontal="left" vertical="top"/>
    </xf>
    <xf numFmtId="0" fontId="15" fillId="7" borderId="60" xfId="0" applyNumberFormat="1" applyFont="1" applyFill="1" applyBorder="1" applyAlignment="1">
      <alignment horizontal="center"/>
    </xf>
    <xf numFmtId="0" fontId="15" fillId="7" borderId="61" xfId="0" applyNumberFormat="1" applyFont="1" applyFill="1" applyBorder="1" applyAlignment="1">
      <alignment horizontal="center"/>
    </xf>
    <xf numFmtId="0" fontId="28" fillId="7" borderId="60" xfId="0" applyNumberFormat="1" applyFont="1" applyFill="1" applyBorder="1" applyAlignment="1">
      <alignment horizontal="center" vertical="center"/>
    </xf>
    <xf numFmtId="0" fontId="28" fillId="7" borderId="55" xfId="0" applyNumberFormat="1" applyFont="1" applyFill="1" applyBorder="1" applyAlignment="1">
      <alignment horizontal="center" vertical="center"/>
    </xf>
    <xf numFmtId="0" fontId="28" fillId="7" borderId="61" xfId="0" applyNumberFormat="1" applyFont="1" applyFill="1" applyBorder="1" applyAlignment="1">
      <alignment horizontal="center" vertical="center"/>
    </xf>
    <xf numFmtId="0" fontId="28" fillId="7" borderId="56" xfId="0" applyNumberFormat="1" applyFont="1" applyFill="1" applyBorder="1" applyAlignment="1">
      <alignment horizontal="center" vertical="center" wrapText="1"/>
    </xf>
    <xf numFmtId="0" fontId="28" fillId="7" borderId="26" xfId="0" applyNumberFormat="1" applyFont="1" applyFill="1" applyBorder="1" applyAlignment="1">
      <alignment horizontal="center" vertical="center" wrapText="1"/>
    </xf>
    <xf numFmtId="0" fontId="28" fillId="7" borderId="28" xfId="0" applyNumberFormat="1" applyFont="1" applyFill="1" applyBorder="1" applyAlignment="1">
      <alignment horizontal="center" vertical="center" wrapText="1"/>
    </xf>
    <xf numFmtId="0" fontId="15" fillId="7" borderId="55" xfId="0" applyNumberFormat="1" applyFont="1" applyFill="1" applyBorder="1" applyAlignment="1">
      <alignment horizontal="center"/>
    </xf>
    <xf numFmtId="0" fontId="33" fillId="0" borderId="0" xfId="0" applyFont="1" applyAlignment="1">
      <alignment horizontal="left"/>
    </xf>
    <xf numFmtId="0" fontId="52" fillId="0" borderId="51" xfId="0" applyFont="1" applyFill="1" applyBorder="1" applyAlignment="1">
      <alignment horizontal="center" vertical="top" wrapText="1"/>
    </xf>
    <xf numFmtId="0" fontId="52" fillId="0" borderId="60" xfId="0" applyFont="1" applyFill="1" applyBorder="1" applyAlignment="1">
      <alignment horizontal="left" vertical="top" wrapText="1"/>
    </xf>
    <xf numFmtId="0" fontId="52" fillId="0" borderId="61" xfId="0" applyFont="1" applyFill="1" applyBorder="1" applyAlignment="1">
      <alignment horizontal="left" vertical="top" wrapText="1"/>
    </xf>
    <xf numFmtId="0" fontId="52" fillId="0" borderId="55" xfId="0" applyFont="1" applyFill="1" applyBorder="1" applyAlignment="1">
      <alignment horizontal="left" vertical="top" wrapText="1"/>
    </xf>
    <xf numFmtId="188" fontId="52" fillId="0" borderId="60" xfId="0" applyNumberFormat="1" applyFont="1" applyFill="1" applyBorder="1" applyAlignment="1">
      <alignment horizontal="left" vertical="top" wrapText="1"/>
    </xf>
    <xf numFmtId="188" fontId="52" fillId="0" borderId="61" xfId="0" applyNumberFormat="1" applyFont="1" applyFill="1" applyBorder="1" applyAlignment="1">
      <alignment horizontal="left" vertical="top" wrapText="1"/>
    </xf>
    <xf numFmtId="188" fontId="52" fillId="0" borderId="55" xfId="0" applyNumberFormat="1" applyFont="1" applyFill="1" applyBorder="1" applyAlignment="1">
      <alignment horizontal="left" vertical="top" wrapText="1"/>
    </xf>
    <xf numFmtId="188" fontId="52" fillId="0" borderId="51" xfId="0" applyNumberFormat="1" applyFont="1" applyFill="1" applyBorder="1" applyAlignment="1">
      <alignment horizontal="left" vertical="top" wrapText="1"/>
    </xf>
    <xf numFmtId="194" fontId="52" fillId="0" borderId="60" xfId="0" applyNumberFormat="1" applyFont="1" applyFill="1" applyBorder="1" applyAlignment="1">
      <alignment horizontal="left" vertical="top" wrapText="1"/>
    </xf>
    <xf numFmtId="194" fontId="52" fillId="0" borderId="61" xfId="0" applyNumberFormat="1" applyFont="1" applyFill="1" applyBorder="1" applyAlignment="1">
      <alignment horizontal="left" vertical="top" wrapText="1"/>
    </xf>
    <xf numFmtId="194" fontId="52" fillId="0" borderId="55" xfId="0" applyNumberFormat="1" applyFont="1" applyFill="1" applyBorder="1" applyAlignment="1">
      <alignment horizontal="left" vertical="top" wrapText="1"/>
    </xf>
    <xf numFmtId="194" fontId="52" fillId="0" borderId="51" xfId="0" applyNumberFormat="1" applyFont="1" applyFill="1" applyBorder="1" applyAlignment="1">
      <alignment horizontal="left" vertical="top" wrapText="1"/>
    </xf>
    <xf numFmtId="0" fontId="52" fillId="7" borderId="51" xfId="0" applyFont="1" applyFill="1" applyBorder="1" applyAlignment="1">
      <alignment horizontal="center" vertical="top" wrapText="1"/>
    </xf>
    <xf numFmtId="17" fontId="52" fillId="7" borderId="51" xfId="10" applyNumberFormat="1" applyFont="1" applyFill="1" applyBorder="1" applyAlignment="1">
      <alignment horizontal="center" vertical="top" wrapText="1"/>
    </xf>
    <xf numFmtId="0" fontId="52" fillId="7" borderId="51" xfId="10" applyNumberFormat="1" applyFont="1" applyFill="1" applyBorder="1" applyAlignment="1">
      <alignment horizontal="center" vertical="top" wrapText="1"/>
    </xf>
    <xf numFmtId="0" fontId="52" fillId="0" borderId="60" xfId="0" applyFont="1" applyFill="1" applyBorder="1" applyAlignment="1">
      <alignment horizontal="center"/>
    </xf>
    <xf numFmtId="0" fontId="52" fillId="0" borderId="61" xfId="0" applyFont="1" applyFill="1" applyBorder="1" applyAlignment="1">
      <alignment horizontal="center"/>
    </xf>
    <xf numFmtId="0" fontId="52" fillId="0" borderId="55" xfId="0" applyFont="1" applyFill="1" applyBorder="1" applyAlignment="1">
      <alignment horizontal="center"/>
    </xf>
    <xf numFmtId="188" fontId="52" fillId="0" borderId="51" xfId="0" applyNumberFormat="1" applyFont="1" applyFill="1" applyBorder="1" applyAlignment="1">
      <alignment horizontal="center" vertical="top" wrapText="1"/>
    </xf>
    <xf numFmtId="181" fontId="15" fillId="0" borderId="0" xfId="6" applyFont="1" applyFill="1" applyBorder="1" applyAlignment="1">
      <alignment horizontal="left"/>
    </xf>
    <xf numFmtId="0" fontId="28" fillId="7" borderId="51" xfId="0" applyFont="1" applyFill="1" applyBorder="1" applyAlignment="1">
      <alignment horizontal="center" vertical="center"/>
    </xf>
    <xf numFmtId="0" fontId="52" fillId="7" borderId="51" xfId="0" applyFont="1" applyFill="1" applyBorder="1"/>
    <xf numFmtId="0" fontId="33" fillId="0" borderId="0" xfId="6" applyNumberFormat="1" applyFont="1" applyFill="1" applyBorder="1" applyAlignment="1">
      <alignment horizontal="left" vertical="top"/>
    </xf>
    <xf numFmtId="0" fontId="28" fillId="0" borderId="44" xfId="0" applyFont="1" applyFill="1" applyBorder="1" applyAlignment="1">
      <alignment horizontal="center" vertical="top"/>
    </xf>
    <xf numFmtId="0" fontId="28" fillId="0" borderId="61" xfId="0" applyFont="1" applyFill="1" applyBorder="1" applyAlignment="1">
      <alignment horizontal="center" vertical="top"/>
    </xf>
    <xf numFmtId="0" fontId="28" fillId="0" borderId="55" xfId="0" applyFont="1" applyFill="1" applyBorder="1" applyAlignment="1">
      <alignment horizontal="center" vertical="top"/>
    </xf>
    <xf numFmtId="194" fontId="28" fillId="0" borderId="60" xfId="0" applyNumberFormat="1" applyFont="1" applyFill="1" applyBorder="1" applyAlignment="1">
      <alignment horizontal="center" vertical="top"/>
    </xf>
    <xf numFmtId="194" fontId="28" fillId="0" borderId="61" xfId="0" applyNumberFormat="1" applyFont="1" applyFill="1" applyBorder="1" applyAlignment="1">
      <alignment horizontal="center" vertical="top"/>
    </xf>
    <xf numFmtId="0" fontId="28" fillId="0" borderId="51" xfId="0" applyFont="1" applyFill="1" applyBorder="1" applyAlignment="1">
      <alignment horizontal="center" vertical="top"/>
    </xf>
    <xf numFmtId="0" fontId="33" fillId="0" borderId="0" xfId="0" applyNumberFormat="1" applyFont="1" applyFill="1" applyAlignment="1">
      <alignment horizontal="left" wrapText="1"/>
    </xf>
    <xf numFmtId="17" fontId="52" fillId="0" borderId="51" xfId="10" applyNumberFormat="1" applyFont="1" applyFill="1" applyBorder="1" applyAlignment="1">
      <alignment horizontal="center" vertical="top" wrapText="1"/>
    </xf>
    <xf numFmtId="0" fontId="52" fillId="0" borderId="51" xfId="10" applyNumberFormat="1" applyFont="1" applyFill="1" applyBorder="1" applyAlignment="1">
      <alignment horizontal="center" vertical="top" wrapText="1"/>
    </xf>
    <xf numFmtId="0" fontId="52" fillId="0" borderId="51" xfId="0" applyFont="1" applyFill="1" applyBorder="1" applyAlignment="1">
      <alignment horizontal="center" vertical="center" wrapText="1"/>
    </xf>
    <xf numFmtId="0" fontId="52" fillId="0" borderId="56" xfId="0" applyFont="1" applyFill="1" applyBorder="1" applyAlignment="1">
      <alignment horizontal="center" vertical="center" wrapText="1"/>
    </xf>
    <xf numFmtId="181" fontId="14" fillId="0" borderId="19" xfId="1" applyFont="1" applyBorder="1" applyAlignment="1"/>
    <xf numFmtId="0" fontId="0" fillId="0" borderId="20" xfId="0" applyBorder="1" applyAlignment="1"/>
    <xf numFmtId="181" fontId="35" fillId="3" borderId="18" xfId="1" applyFont="1" applyFill="1" applyBorder="1" applyAlignment="1">
      <alignment horizontal="left" vertical="top" wrapText="1"/>
    </xf>
    <xf numFmtId="181" fontId="15" fillId="3" borderId="19" xfId="1" applyFont="1" applyFill="1" applyBorder="1" applyAlignment="1">
      <alignment horizontal="left" vertical="top" wrapText="1"/>
    </xf>
    <xf numFmtId="0" fontId="0" fillId="0" borderId="19" xfId="0" applyBorder="1"/>
    <xf numFmtId="182" fontId="14" fillId="3" borderId="18" xfId="2" applyNumberFormat="1" applyFont="1" applyFill="1" applyBorder="1" applyAlignment="1">
      <alignment horizontal="center" wrapText="1"/>
    </xf>
    <xf numFmtId="182" fontId="14" fillId="3" borderId="20" xfId="2" applyNumberFormat="1" applyFont="1" applyFill="1" applyBorder="1" applyAlignment="1">
      <alignment horizontal="center" wrapText="1"/>
    </xf>
    <xf numFmtId="181" fontId="15" fillId="3" borderId="18" xfId="1" applyFont="1" applyFill="1" applyBorder="1" applyAlignment="1">
      <alignment horizontal="left" vertical="top" wrapText="1"/>
    </xf>
    <xf numFmtId="166" fontId="14" fillId="3" borderId="18" xfId="1" applyNumberFormat="1" applyFont="1" applyFill="1" applyBorder="1" applyAlignment="1">
      <alignment horizontal="center" vertical="center" wrapText="1"/>
    </xf>
    <xf numFmtId="166" fontId="14" fillId="3" borderId="20" xfId="1" applyNumberFormat="1" applyFont="1" applyFill="1" applyBorder="1" applyAlignment="1">
      <alignment horizontal="center" vertical="center" wrapText="1"/>
    </xf>
    <xf numFmtId="181" fontId="15" fillId="3" borderId="18" xfId="1" applyFont="1" applyFill="1" applyBorder="1" applyAlignment="1">
      <alignment horizontal="left" vertical="top"/>
    </xf>
    <xf numFmtId="181" fontId="15" fillId="3" borderId="19" xfId="1" applyFont="1" applyFill="1" applyBorder="1" applyAlignment="1">
      <alignment horizontal="left" vertical="top"/>
    </xf>
    <xf numFmtId="181" fontId="25" fillId="0" borderId="0" xfId="1" applyFont="1" applyFill="1" applyBorder="1" applyAlignment="1">
      <alignment horizontal="left" vertical="center" wrapText="1"/>
    </xf>
    <xf numFmtId="181" fontId="25" fillId="0" borderId="0" xfId="1" applyFont="1" applyBorder="1" applyAlignment="1">
      <alignment horizontal="left" vertical="center" wrapText="1"/>
    </xf>
  </cellXfs>
  <cellStyles count="33">
    <cellStyle name="Comma" xfId="14" builtinId="3"/>
    <cellStyle name="Comma 2" xfId="10"/>
    <cellStyle name="Comma 3" xfId="28"/>
    <cellStyle name="Hyperlink" xfId="4" builtinId="8"/>
    <cellStyle name="Indian Comma" xfId="3"/>
    <cellStyle name="Indian Comma 13" xfId="19"/>
    <cellStyle name="Normal" xfId="0" builtinId="0"/>
    <cellStyle name="Normal 16" xfId="17"/>
    <cellStyle name="Normal 17" xfId="27"/>
    <cellStyle name="Normal 18" xfId="24"/>
    <cellStyle name="Normal 2" xfId="6"/>
    <cellStyle name="Normal 2 2" xfId="29"/>
    <cellStyle name="Normal 2 2 2 2 2 2 2" xfId="30"/>
    <cellStyle name="Normal 2 3" xfId="26"/>
    <cellStyle name="Normal 22" xfId="32"/>
    <cellStyle name="Normal 3" xfId="13"/>
    <cellStyle name="Normal 3 144" xfId="11"/>
    <cellStyle name="Normal 3 2" xfId="25"/>
    <cellStyle name="Normal 3 3" xfId="21"/>
    <cellStyle name="Normal 30" xfId="18"/>
    <cellStyle name="Normal 30 3" xfId="22"/>
    <cellStyle name="Normal 4 2" xfId="23"/>
    <cellStyle name="Normal 41 2" xfId="20"/>
    <cellStyle name="Normal 5" xfId="8"/>
    <cellStyle name="Normal 6" xfId="2"/>
    <cellStyle name="Normal 6 2" xfId="5"/>
    <cellStyle name="Normal 60" xfId="12"/>
    <cellStyle name="Normal 7" xfId="31"/>
    <cellStyle name="Normal 8" xfId="7"/>
    <cellStyle name="Normal_January 2010" xfId="15"/>
    <cellStyle name="Normal_Sanju Tables" xfId="16"/>
    <cellStyle name="Normal_tables-oct" xfId="1"/>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32\Downloads\Bulletin%20tables%20-%20May%20%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Index"/>
      <sheetName val="1"/>
      <sheetName val="65"/>
      <sheetName val="66"/>
      <sheetName val="67"/>
      <sheetName val="68"/>
      <sheetName val="69"/>
      <sheetName val="70"/>
      <sheetName val="71"/>
      <sheetName val="72"/>
      <sheetName val="73"/>
      <sheetName val="74"/>
      <sheetName val="75"/>
    </sheetNames>
    <sheetDataSet>
      <sheetData sheetId="0"/>
      <sheetData sheetId="1">
        <row r="8">
          <cell r="A8" t="str">
            <v>$ indicates as on May 31, 2019</v>
          </cell>
        </row>
      </sheetData>
      <sheetData sheetId="2"/>
      <sheetData sheetId="3">
        <row r="8">
          <cell r="A8" t="str">
            <v>$ indicates as on May 31, 2019</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7"/>
  <sheetViews>
    <sheetView tabSelected="1" zoomScaleNormal="100" workbookViewId="0">
      <selection activeCell="A67" sqref="A67:B76"/>
    </sheetView>
  </sheetViews>
  <sheetFormatPr defaultRowHeight="12.75" x14ac:dyDescent="0.2"/>
  <cols>
    <col min="1" max="1" width="102.140625" bestFit="1" customWidth="1"/>
    <col min="2" max="2" width="21.140625" bestFit="1" customWidth="1"/>
    <col min="3" max="3" width="4.7109375" bestFit="1" customWidth="1"/>
  </cols>
  <sheetData>
    <row r="1" spans="1:2" ht="15.75" customHeight="1" x14ac:dyDescent="0.2">
      <c r="A1" s="1" t="s">
        <v>0</v>
      </c>
    </row>
    <row r="2" spans="1:2" s="4" customFormat="1" ht="18.75" customHeight="1" x14ac:dyDescent="0.2">
      <c r="A2" s="2" t="s">
        <v>1</v>
      </c>
      <c r="B2" s="2" t="s">
        <v>2</v>
      </c>
    </row>
    <row r="3" spans="1:2" s="4" customFormat="1" ht="18" customHeight="1" x14ac:dyDescent="0.2">
      <c r="A3" s="3" t="s">
        <v>866</v>
      </c>
      <c r="B3" s="3" t="s">
        <v>3</v>
      </c>
    </row>
    <row r="4" spans="1:2" s="4" customFormat="1" ht="18" customHeight="1" x14ac:dyDescent="0.2">
      <c r="A4" s="3" t="s">
        <v>867</v>
      </c>
      <c r="B4" s="3" t="s">
        <v>3</v>
      </c>
    </row>
    <row r="5" spans="1:2" s="4" customFormat="1" ht="18" customHeight="1" x14ac:dyDescent="0.2">
      <c r="A5" s="3" t="s">
        <v>868</v>
      </c>
      <c r="B5" s="3" t="s">
        <v>3</v>
      </c>
    </row>
    <row r="6" spans="1:2" s="4" customFormat="1" ht="18" customHeight="1" x14ac:dyDescent="0.2">
      <c r="A6" s="3" t="s">
        <v>869</v>
      </c>
      <c r="B6" s="3" t="s">
        <v>3</v>
      </c>
    </row>
    <row r="7" spans="1:2" s="4" customFormat="1" ht="18" customHeight="1" x14ac:dyDescent="0.2">
      <c r="A7" s="3" t="s">
        <v>870</v>
      </c>
      <c r="B7" s="3" t="s">
        <v>3</v>
      </c>
    </row>
    <row r="8" spans="1:2" s="4" customFormat="1" ht="18" customHeight="1" x14ac:dyDescent="0.2">
      <c r="A8" s="3" t="s">
        <v>871</v>
      </c>
      <c r="B8" s="3" t="s">
        <v>3</v>
      </c>
    </row>
    <row r="9" spans="1:2" s="4" customFormat="1" ht="18" customHeight="1" x14ac:dyDescent="0.2">
      <c r="A9" s="3" t="s">
        <v>872</v>
      </c>
      <c r="B9" s="3" t="s">
        <v>3</v>
      </c>
    </row>
    <row r="10" spans="1:2" s="4" customFormat="1" ht="18" customHeight="1" x14ac:dyDescent="0.2">
      <c r="A10" s="3" t="s">
        <v>873</v>
      </c>
      <c r="B10" s="3" t="s">
        <v>3</v>
      </c>
    </row>
    <row r="11" spans="1:2" s="4" customFormat="1" ht="18" customHeight="1" x14ac:dyDescent="0.2">
      <c r="A11" s="3" t="s">
        <v>874</v>
      </c>
      <c r="B11" s="3" t="s">
        <v>3</v>
      </c>
    </row>
    <row r="12" spans="1:2" s="4" customFormat="1" ht="18" customHeight="1" x14ac:dyDescent="0.2">
      <c r="A12" s="3" t="s">
        <v>875</v>
      </c>
      <c r="B12" s="3" t="s">
        <v>3</v>
      </c>
    </row>
    <row r="13" spans="1:2" s="4" customFormat="1" ht="18" customHeight="1" x14ac:dyDescent="0.2">
      <c r="A13" s="3" t="s">
        <v>876</v>
      </c>
      <c r="B13" s="3" t="s">
        <v>3</v>
      </c>
    </row>
    <row r="14" spans="1:2" s="4" customFormat="1" ht="18" customHeight="1" x14ac:dyDescent="0.2">
      <c r="A14" s="3" t="s">
        <v>877</v>
      </c>
      <c r="B14" s="3" t="s">
        <v>3</v>
      </c>
    </row>
    <row r="15" spans="1:2" s="4" customFormat="1" ht="18" customHeight="1" x14ac:dyDescent="0.2">
      <c r="A15" s="3" t="s">
        <v>878</v>
      </c>
      <c r="B15" s="3" t="s">
        <v>3</v>
      </c>
    </row>
    <row r="16" spans="1:2" s="4" customFormat="1" ht="18" customHeight="1" x14ac:dyDescent="0.2">
      <c r="A16" s="3" t="s">
        <v>879</v>
      </c>
      <c r="B16" s="3" t="s">
        <v>3</v>
      </c>
    </row>
    <row r="17" spans="1:2" s="4" customFormat="1" ht="18" customHeight="1" x14ac:dyDescent="0.2">
      <c r="A17" s="3" t="s">
        <v>880</v>
      </c>
      <c r="B17" s="3" t="s">
        <v>3</v>
      </c>
    </row>
    <row r="18" spans="1:2" s="4" customFormat="1" ht="18" customHeight="1" x14ac:dyDescent="0.2">
      <c r="A18" s="3" t="s">
        <v>881</v>
      </c>
      <c r="B18" s="3" t="s">
        <v>3</v>
      </c>
    </row>
    <row r="19" spans="1:2" s="4" customFormat="1" ht="18" customHeight="1" x14ac:dyDescent="0.2">
      <c r="A19" s="3" t="s">
        <v>984</v>
      </c>
      <c r="B19" s="3" t="s">
        <v>3</v>
      </c>
    </row>
    <row r="20" spans="1:2" s="4" customFormat="1" ht="18" customHeight="1" x14ac:dyDescent="0.2">
      <c r="A20" s="3" t="s">
        <v>882</v>
      </c>
      <c r="B20" s="3" t="s">
        <v>3</v>
      </c>
    </row>
    <row r="21" spans="1:2" s="4" customFormat="1" ht="18" customHeight="1" x14ac:dyDescent="0.2">
      <c r="A21" s="3" t="s">
        <v>883</v>
      </c>
      <c r="B21" s="3" t="s">
        <v>3</v>
      </c>
    </row>
    <row r="22" spans="1:2" s="4" customFormat="1" ht="18" customHeight="1" x14ac:dyDescent="0.2">
      <c r="A22" s="3" t="s">
        <v>884</v>
      </c>
      <c r="B22" s="3" t="s">
        <v>3</v>
      </c>
    </row>
    <row r="23" spans="1:2" s="4" customFormat="1" ht="18" customHeight="1" x14ac:dyDescent="0.2">
      <c r="A23" s="3" t="s">
        <v>885</v>
      </c>
      <c r="B23" s="3" t="s">
        <v>3</v>
      </c>
    </row>
    <row r="24" spans="1:2" s="4" customFormat="1" ht="18" customHeight="1" x14ac:dyDescent="0.2">
      <c r="A24" s="3" t="s">
        <v>886</v>
      </c>
      <c r="B24" s="3" t="s">
        <v>3</v>
      </c>
    </row>
    <row r="25" spans="1:2" s="4" customFormat="1" ht="18" customHeight="1" x14ac:dyDescent="0.2">
      <c r="A25" s="3" t="s">
        <v>887</v>
      </c>
      <c r="B25" s="3" t="s">
        <v>3</v>
      </c>
    </row>
    <row r="26" spans="1:2" s="4" customFormat="1" ht="18" customHeight="1" x14ac:dyDescent="0.2">
      <c r="A26" s="3" t="s">
        <v>888</v>
      </c>
      <c r="B26" s="3" t="s">
        <v>3</v>
      </c>
    </row>
    <row r="27" spans="1:2" s="4" customFormat="1" ht="18" customHeight="1" x14ac:dyDescent="0.2">
      <c r="A27" s="3" t="s">
        <v>889</v>
      </c>
      <c r="B27" s="3" t="s">
        <v>3</v>
      </c>
    </row>
    <row r="28" spans="1:2" s="4" customFormat="1" ht="18" customHeight="1" x14ac:dyDescent="0.2">
      <c r="A28" s="3" t="s">
        <v>890</v>
      </c>
      <c r="B28" s="3" t="s">
        <v>3</v>
      </c>
    </row>
    <row r="29" spans="1:2" s="4" customFormat="1" ht="18" customHeight="1" x14ac:dyDescent="0.2">
      <c r="A29" s="3" t="s">
        <v>891</v>
      </c>
      <c r="B29" s="3" t="s">
        <v>3</v>
      </c>
    </row>
    <row r="30" spans="1:2" s="4" customFormat="1" ht="18" customHeight="1" x14ac:dyDescent="0.2">
      <c r="A30" s="3" t="s">
        <v>892</v>
      </c>
      <c r="B30" s="3" t="s">
        <v>3</v>
      </c>
    </row>
    <row r="31" spans="1:2" s="4" customFormat="1" ht="18" customHeight="1" x14ac:dyDescent="0.2">
      <c r="A31" s="3" t="s">
        <v>893</v>
      </c>
      <c r="B31" s="3" t="s">
        <v>3</v>
      </c>
    </row>
    <row r="32" spans="1:2" s="4" customFormat="1" ht="18" customHeight="1" x14ac:dyDescent="0.2">
      <c r="A32" s="3" t="s">
        <v>894</v>
      </c>
      <c r="B32" s="3" t="s">
        <v>3</v>
      </c>
    </row>
    <row r="33" spans="1:2" s="4" customFormat="1" ht="18" customHeight="1" x14ac:dyDescent="0.2">
      <c r="A33" s="3" t="s">
        <v>895</v>
      </c>
      <c r="B33" s="3" t="s">
        <v>3</v>
      </c>
    </row>
    <row r="34" spans="1:2" s="4" customFormat="1" ht="18" customHeight="1" x14ac:dyDescent="0.2">
      <c r="A34" s="3" t="s">
        <v>896</v>
      </c>
      <c r="B34" s="3" t="s">
        <v>3</v>
      </c>
    </row>
    <row r="35" spans="1:2" s="4" customFormat="1" ht="18" customHeight="1" x14ac:dyDescent="0.2">
      <c r="A35" s="3" t="s">
        <v>897</v>
      </c>
      <c r="B35" s="3" t="s">
        <v>3</v>
      </c>
    </row>
    <row r="36" spans="1:2" s="4" customFormat="1" ht="18" customHeight="1" x14ac:dyDescent="0.2">
      <c r="A36" s="3" t="s">
        <v>898</v>
      </c>
      <c r="B36" s="3" t="s">
        <v>3</v>
      </c>
    </row>
    <row r="37" spans="1:2" s="4" customFormat="1" ht="18" customHeight="1" x14ac:dyDescent="0.2">
      <c r="A37" s="3" t="s">
        <v>899</v>
      </c>
      <c r="B37" s="3" t="s">
        <v>3</v>
      </c>
    </row>
    <row r="38" spans="1:2" s="4" customFormat="1" ht="18" customHeight="1" x14ac:dyDescent="0.2">
      <c r="A38" s="3" t="s">
        <v>900</v>
      </c>
      <c r="B38" s="3" t="s">
        <v>3</v>
      </c>
    </row>
    <row r="39" spans="1:2" s="4" customFormat="1" ht="18" customHeight="1" x14ac:dyDescent="0.2">
      <c r="A39" s="3" t="s">
        <v>901</v>
      </c>
      <c r="B39" s="3" t="s">
        <v>3</v>
      </c>
    </row>
    <row r="40" spans="1:2" s="4" customFormat="1" ht="18" customHeight="1" x14ac:dyDescent="0.2">
      <c r="A40" s="3" t="s">
        <v>902</v>
      </c>
      <c r="B40" s="3" t="s">
        <v>3</v>
      </c>
    </row>
    <row r="41" spans="1:2" s="4" customFormat="1" ht="18" customHeight="1" x14ac:dyDescent="0.2">
      <c r="A41" s="3" t="s">
        <v>903</v>
      </c>
      <c r="B41" s="3" t="s">
        <v>3</v>
      </c>
    </row>
    <row r="42" spans="1:2" s="4" customFormat="1" ht="18" customHeight="1" x14ac:dyDescent="0.2">
      <c r="A42" s="3" t="s">
        <v>904</v>
      </c>
      <c r="B42" s="3" t="s">
        <v>3</v>
      </c>
    </row>
    <row r="43" spans="1:2" s="4" customFormat="1" ht="18" customHeight="1" x14ac:dyDescent="0.2">
      <c r="A43" s="3" t="s">
        <v>905</v>
      </c>
      <c r="B43" s="3" t="s">
        <v>3</v>
      </c>
    </row>
    <row r="44" spans="1:2" s="4" customFormat="1" ht="18" customHeight="1" x14ac:dyDescent="0.2">
      <c r="A44" s="3" t="s">
        <v>906</v>
      </c>
      <c r="B44" s="3" t="s">
        <v>3</v>
      </c>
    </row>
    <row r="45" spans="1:2" s="4" customFormat="1" ht="18" customHeight="1" x14ac:dyDescent="0.2">
      <c r="A45" s="3" t="s">
        <v>907</v>
      </c>
      <c r="B45" s="3" t="s">
        <v>3</v>
      </c>
    </row>
    <row r="46" spans="1:2" s="4" customFormat="1" ht="18" customHeight="1" x14ac:dyDescent="0.2">
      <c r="A46" s="3" t="s">
        <v>908</v>
      </c>
      <c r="B46" s="3" t="s">
        <v>3</v>
      </c>
    </row>
    <row r="47" spans="1:2" s="4" customFormat="1" ht="18" customHeight="1" x14ac:dyDescent="0.2">
      <c r="A47" s="3" t="s">
        <v>909</v>
      </c>
      <c r="B47" s="3" t="s">
        <v>3</v>
      </c>
    </row>
    <row r="48" spans="1:2" s="4" customFormat="1" ht="18" customHeight="1" x14ac:dyDescent="0.2">
      <c r="A48" s="3" t="s">
        <v>910</v>
      </c>
      <c r="B48" s="3" t="s">
        <v>3</v>
      </c>
    </row>
    <row r="49" spans="1:2" s="4" customFormat="1" ht="18" customHeight="1" x14ac:dyDescent="0.2">
      <c r="A49" s="3" t="s">
        <v>911</v>
      </c>
      <c r="B49" s="3" t="s">
        <v>3</v>
      </c>
    </row>
    <row r="50" spans="1:2" s="4" customFormat="1" ht="18" customHeight="1" x14ac:dyDescent="0.2">
      <c r="A50" s="3" t="s">
        <v>912</v>
      </c>
      <c r="B50" s="3" t="s">
        <v>3</v>
      </c>
    </row>
    <row r="51" spans="1:2" s="4" customFormat="1" ht="18" customHeight="1" x14ac:dyDescent="0.2">
      <c r="A51" s="3" t="s">
        <v>913</v>
      </c>
      <c r="B51" s="3" t="s">
        <v>3</v>
      </c>
    </row>
    <row r="52" spans="1:2" s="4" customFormat="1" ht="18" customHeight="1" x14ac:dyDescent="0.2">
      <c r="A52" s="3" t="s">
        <v>914</v>
      </c>
      <c r="B52" s="3" t="s">
        <v>3</v>
      </c>
    </row>
    <row r="53" spans="1:2" s="4" customFormat="1" ht="18" customHeight="1" x14ac:dyDescent="0.2">
      <c r="A53" s="3" t="s">
        <v>915</v>
      </c>
      <c r="B53" s="3" t="s">
        <v>3</v>
      </c>
    </row>
    <row r="54" spans="1:2" s="4" customFormat="1" ht="18" customHeight="1" x14ac:dyDescent="0.2">
      <c r="A54" s="3" t="s">
        <v>916</v>
      </c>
      <c r="B54" s="3" t="s">
        <v>3</v>
      </c>
    </row>
    <row r="55" spans="1:2" s="4" customFormat="1" ht="18" customHeight="1" x14ac:dyDescent="0.2">
      <c r="A55" s="3" t="s">
        <v>917</v>
      </c>
      <c r="B55" s="3" t="s">
        <v>3</v>
      </c>
    </row>
    <row r="56" spans="1:2" s="4" customFormat="1" ht="18" customHeight="1" x14ac:dyDescent="0.2">
      <c r="A56" s="3" t="s">
        <v>918</v>
      </c>
      <c r="B56" s="3" t="s">
        <v>3</v>
      </c>
    </row>
    <row r="57" spans="1:2" s="4" customFormat="1" ht="18" customHeight="1" x14ac:dyDescent="0.2">
      <c r="A57" s="3" t="s">
        <v>919</v>
      </c>
      <c r="B57" s="3" t="s">
        <v>3</v>
      </c>
    </row>
    <row r="58" spans="1:2" s="4" customFormat="1" ht="18" customHeight="1" x14ac:dyDescent="0.2">
      <c r="A58" s="3" t="s">
        <v>920</v>
      </c>
      <c r="B58" s="3" t="s">
        <v>3</v>
      </c>
    </row>
    <row r="59" spans="1:2" s="4" customFormat="1" ht="18" customHeight="1" x14ac:dyDescent="0.2">
      <c r="A59" s="60" t="s">
        <v>921</v>
      </c>
      <c r="B59" s="3" t="s">
        <v>3</v>
      </c>
    </row>
    <row r="60" spans="1:2" s="4" customFormat="1" ht="18" customHeight="1" x14ac:dyDescent="0.2">
      <c r="A60" s="3" t="s">
        <v>922</v>
      </c>
      <c r="B60" s="3" t="s">
        <v>3</v>
      </c>
    </row>
    <row r="61" spans="1:2" s="4" customFormat="1" ht="18" customHeight="1" x14ac:dyDescent="0.2">
      <c r="A61" s="3" t="s">
        <v>923</v>
      </c>
      <c r="B61" s="3" t="s">
        <v>3</v>
      </c>
    </row>
    <row r="62" spans="1:2" s="4" customFormat="1" ht="18" customHeight="1" x14ac:dyDescent="0.2">
      <c r="A62" s="3" t="s">
        <v>924</v>
      </c>
      <c r="B62" s="3" t="s">
        <v>3</v>
      </c>
    </row>
    <row r="63" spans="1:2" s="4" customFormat="1" ht="18" customHeight="1" x14ac:dyDescent="0.2">
      <c r="A63" s="3" t="s">
        <v>925</v>
      </c>
      <c r="B63" s="3" t="s">
        <v>3</v>
      </c>
    </row>
    <row r="64" spans="1:2" s="4" customFormat="1" ht="18" customHeight="1" x14ac:dyDescent="0.2">
      <c r="A64" s="3" t="s">
        <v>926</v>
      </c>
      <c r="B64" s="3" t="s">
        <v>3</v>
      </c>
    </row>
    <row r="65" spans="1:2" s="4" customFormat="1" ht="18" customHeight="1" x14ac:dyDescent="0.2">
      <c r="A65" s="3" t="s">
        <v>927</v>
      </c>
      <c r="B65" s="3" t="s">
        <v>3</v>
      </c>
    </row>
    <row r="66" spans="1:2" s="4" customFormat="1" ht="18" customHeight="1" x14ac:dyDescent="0.2">
      <c r="A66" s="3" t="s">
        <v>1066</v>
      </c>
      <c r="B66" s="3" t="s">
        <v>3</v>
      </c>
    </row>
    <row r="67" spans="1:2" s="4" customFormat="1" ht="18.75" customHeight="1" x14ac:dyDescent="0.2">
      <c r="A67" s="3" t="s">
        <v>1067</v>
      </c>
      <c r="B67" s="3" t="s">
        <v>3</v>
      </c>
    </row>
    <row r="68" spans="1:2" s="4" customFormat="1" ht="18" customHeight="1" x14ac:dyDescent="0.2">
      <c r="A68" s="3" t="s">
        <v>1061</v>
      </c>
      <c r="B68" s="3" t="s">
        <v>3</v>
      </c>
    </row>
    <row r="69" spans="1:2" s="4" customFormat="1" ht="18" customHeight="1" x14ac:dyDescent="0.2">
      <c r="A69" s="3" t="s">
        <v>1060</v>
      </c>
      <c r="B69" s="3" t="s">
        <v>3</v>
      </c>
    </row>
    <row r="70" spans="1:2" s="4" customFormat="1" ht="18" customHeight="1" x14ac:dyDescent="0.2">
      <c r="A70" s="3" t="s">
        <v>1059</v>
      </c>
      <c r="B70" s="3" t="s">
        <v>3</v>
      </c>
    </row>
    <row r="71" spans="1:2" s="4" customFormat="1" ht="18" customHeight="1" x14ac:dyDescent="0.2">
      <c r="A71" s="3" t="s">
        <v>1058</v>
      </c>
      <c r="B71" s="3" t="s">
        <v>3</v>
      </c>
    </row>
    <row r="72" spans="1:2" s="4" customFormat="1" ht="18" customHeight="1" x14ac:dyDescent="0.2">
      <c r="A72" s="3" t="s">
        <v>1057</v>
      </c>
      <c r="B72" s="3" t="s">
        <v>3</v>
      </c>
    </row>
    <row r="73" spans="1:2" s="4" customFormat="1" ht="18" customHeight="1" x14ac:dyDescent="0.2">
      <c r="A73" s="3" t="s">
        <v>1056</v>
      </c>
      <c r="B73" s="3" t="s">
        <v>3</v>
      </c>
    </row>
    <row r="74" spans="1:2" s="4" customFormat="1" ht="18" customHeight="1" x14ac:dyDescent="0.2">
      <c r="A74" s="3" t="s">
        <v>1055</v>
      </c>
      <c r="B74" s="3" t="s">
        <v>3</v>
      </c>
    </row>
    <row r="75" spans="1:2" s="4" customFormat="1" ht="18" customHeight="1" x14ac:dyDescent="0.2">
      <c r="A75" s="3" t="s">
        <v>1054</v>
      </c>
      <c r="B75" s="3" t="s">
        <v>3</v>
      </c>
    </row>
    <row r="76" spans="1:2" s="4" customFormat="1" ht="18" customHeight="1" x14ac:dyDescent="0.2">
      <c r="A76" s="3" t="s">
        <v>1064</v>
      </c>
      <c r="B76" s="3" t="s">
        <v>3</v>
      </c>
    </row>
    <row r="77" spans="1:2" s="4" customFormat="1" ht="18" customHeight="1" x14ac:dyDescent="0.2">
      <c r="A77" s="3" t="s">
        <v>1065</v>
      </c>
      <c r="B77" s="3" t="s">
        <v>3</v>
      </c>
    </row>
  </sheetData>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zoomScaleNormal="100" workbookViewId="0">
      <selection activeCell="G10" sqref="G10"/>
    </sheetView>
  </sheetViews>
  <sheetFormatPr defaultRowHeight="15" x14ac:dyDescent="0.25"/>
  <cols>
    <col min="1" max="1" width="8.7109375" style="123" customWidth="1"/>
    <col min="2" max="2" width="8" style="123" customWidth="1"/>
    <col min="3" max="3" width="8.28515625" style="123" customWidth="1"/>
    <col min="4" max="4" width="7.5703125" style="123" customWidth="1"/>
    <col min="5" max="5" width="8.5703125" style="123" bestFit="1" customWidth="1"/>
    <col min="6" max="6" width="7.5703125" style="123" customWidth="1"/>
    <col min="7" max="7" width="8.5703125" style="123" bestFit="1" customWidth="1"/>
    <col min="8" max="8" width="7.5703125" style="123" customWidth="1"/>
    <col min="9" max="9" width="8.5703125" style="123" bestFit="1" customWidth="1"/>
    <col min="10" max="10" width="7.5703125" style="123" customWidth="1"/>
    <col min="11" max="11" width="8.5703125" style="123" bestFit="1" customWidth="1"/>
    <col min="12" max="12" width="8" style="123" customWidth="1"/>
    <col min="13" max="13" width="8.5703125" style="123" bestFit="1" customWidth="1"/>
    <col min="14" max="14" width="7.28515625" style="123" bestFit="1" customWidth="1"/>
    <col min="15" max="15" width="8" style="123" bestFit="1" customWidth="1"/>
    <col min="16" max="16384" width="9.140625" style="123"/>
  </cols>
  <sheetData>
    <row r="1" spans="1:15" ht="15" customHeight="1" x14ac:dyDescent="0.25">
      <c r="A1" s="612" t="str">
        <f>'Data Summary'!$A$11</f>
        <v>Table 9:  Size-wise Classification of Capital Raised through Public and Rights Issues (Equity)</v>
      </c>
      <c r="B1" s="612"/>
      <c r="C1" s="612"/>
      <c r="D1" s="612"/>
      <c r="E1" s="612"/>
      <c r="F1" s="612"/>
      <c r="G1" s="612"/>
      <c r="H1" s="612"/>
      <c r="I1" s="612"/>
      <c r="J1" s="612"/>
      <c r="K1" s="612"/>
      <c r="L1" s="612"/>
      <c r="M1" s="612"/>
      <c r="N1" s="612"/>
    </row>
    <row r="2" spans="1:15" s="122" customFormat="1" ht="27" customHeight="1" x14ac:dyDescent="0.2">
      <c r="A2" s="591" t="s">
        <v>61</v>
      </c>
      <c r="B2" s="621" t="s">
        <v>64</v>
      </c>
      <c r="C2" s="622"/>
      <c r="D2" s="621" t="s">
        <v>115</v>
      </c>
      <c r="E2" s="622"/>
      <c r="F2" s="621" t="s">
        <v>116</v>
      </c>
      <c r="G2" s="622"/>
      <c r="H2" s="621" t="s">
        <v>117</v>
      </c>
      <c r="I2" s="622"/>
      <c r="J2" s="621" t="s">
        <v>118</v>
      </c>
      <c r="K2" s="622"/>
      <c r="L2" s="621" t="s">
        <v>864</v>
      </c>
      <c r="M2" s="622"/>
      <c r="N2" s="621" t="s">
        <v>865</v>
      </c>
      <c r="O2" s="622"/>
    </row>
    <row r="3" spans="1:15" s="122" customFormat="1" ht="37.5" customHeight="1" x14ac:dyDescent="0.2">
      <c r="A3" s="592"/>
      <c r="B3" s="124" t="s">
        <v>83</v>
      </c>
      <c r="C3" s="7" t="s">
        <v>69</v>
      </c>
      <c r="D3" s="124" t="s">
        <v>83</v>
      </c>
      <c r="E3" s="7" t="s">
        <v>69</v>
      </c>
      <c r="F3" s="124" t="s">
        <v>83</v>
      </c>
      <c r="G3" s="7" t="s">
        <v>69</v>
      </c>
      <c r="H3" s="124" t="s">
        <v>83</v>
      </c>
      <c r="I3" s="7" t="s">
        <v>69</v>
      </c>
      <c r="J3" s="124" t="s">
        <v>83</v>
      </c>
      <c r="K3" s="7" t="s">
        <v>69</v>
      </c>
      <c r="L3" s="124" t="s">
        <v>83</v>
      </c>
      <c r="M3" s="7" t="s">
        <v>69</v>
      </c>
      <c r="N3" s="124" t="s">
        <v>83</v>
      </c>
      <c r="O3" s="7" t="s">
        <v>69</v>
      </c>
    </row>
    <row r="4" spans="1:15" s="122" customFormat="1" x14ac:dyDescent="0.2">
      <c r="A4" s="209" t="s">
        <v>5</v>
      </c>
      <c r="B4" s="283">
        <f>D4+F4+H4+J4+L4+N4</f>
        <v>133</v>
      </c>
      <c r="C4" s="283">
        <f>E4+G4+I4+K4+M4+O4</f>
        <v>18235.21</v>
      </c>
      <c r="D4" s="283">
        <v>20</v>
      </c>
      <c r="E4" s="283">
        <v>68.41</v>
      </c>
      <c r="F4" s="283">
        <v>29</v>
      </c>
      <c r="G4" s="283">
        <v>212.75</v>
      </c>
      <c r="H4" s="283">
        <v>61</v>
      </c>
      <c r="I4" s="283">
        <v>1355.19</v>
      </c>
      <c r="J4" s="283">
        <v>6</v>
      </c>
      <c r="K4" s="283">
        <v>437.52</v>
      </c>
      <c r="L4" s="283">
        <v>8</v>
      </c>
      <c r="M4" s="283">
        <v>2895.75</v>
      </c>
      <c r="N4" s="283">
        <v>9</v>
      </c>
      <c r="O4" s="283">
        <v>13265.59</v>
      </c>
    </row>
    <row r="5" spans="1:15" s="122" customFormat="1" x14ac:dyDescent="0.2">
      <c r="A5" s="209" t="s">
        <v>6</v>
      </c>
      <c r="B5" s="283">
        <f>SUM(B6:B7)</f>
        <v>17</v>
      </c>
      <c r="C5" s="283">
        <f t="shared" ref="C5:M5" si="0">SUM(C6:C7)</f>
        <v>52711.252544000003</v>
      </c>
      <c r="D5" s="283">
        <f t="shared" si="0"/>
        <v>3</v>
      </c>
      <c r="E5" s="283">
        <f t="shared" si="0"/>
        <v>4.46</v>
      </c>
      <c r="F5" s="283">
        <f t="shared" si="0"/>
        <v>2</v>
      </c>
      <c r="G5" s="283">
        <f t="shared" si="0"/>
        <v>15.11</v>
      </c>
      <c r="H5" s="283">
        <f t="shared" si="0"/>
        <v>6</v>
      </c>
      <c r="I5" s="283">
        <f t="shared" si="0"/>
        <v>160.68</v>
      </c>
      <c r="J5" s="283">
        <f t="shared" si="0"/>
        <v>0</v>
      </c>
      <c r="K5" s="283">
        <f t="shared" si="0"/>
        <v>0</v>
      </c>
      <c r="L5" s="283">
        <f t="shared" si="0"/>
        <v>2</v>
      </c>
      <c r="M5" s="283">
        <f t="shared" si="0"/>
        <v>609.46</v>
      </c>
      <c r="N5" s="283">
        <f>SUM(N6:N7)</f>
        <v>4</v>
      </c>
      <c r="O5" s="283">
        <f t="shared" ref="O5" si="1">SUM(O6:O7)</f>
        <v>51921.542543999996</v>
      </c>
    </row>
    <row r="6" spans="1:15" s="122" customFormat="1" x14ac:dyDescent="0.2">
      <c r="A6" s="157" t="s">
        <v>70</v>
      </c>
      <c r="B6" s="283">
        <f t="shared" ref="B6:B7" si="2">D6+F6+H6+J6+L6+N6</f>
        <v>10</v>
      </c>
      <c r="C6" s="283">
        <f t="shared" ref="C6:C7" si="3">E6+G6+I6+K6+M6+O6</f>
        <v>28232.959999999999</v>
      </c>
      <c r="D6" s="283">
        <v>1</v>
      </c>
      <c r="E6" s="283">
        <v>2.27</v>
      </c>
      <c r="F6" s="283">
        <v>1</v>
      </c>
      <c r="G6" s="283">
        <v>6.58</v>
      </c>
      <c r="H6" s="283">
        <v>3</v>
      </c>
      <c r="I6" s="283">
        <v>65.31</v>
      </c>
      <c r="J6" s="283">
        <v>0</v>
      </c>
      <c r="K6" s="283">
        <v>0</v>
      </c>
      <c r="L6" s="283">
        <v>2</v>
      </c>
      <c r="M6" s="283">
        <v>609.46</v>
      </c>
      <c r="N6" s="283">
        <v>3</v>
      </c>
      <c r="O6" s="283">
        <v>27549.34</v>
      </c>
    </row>
    <row r="7" spans="1:15" s="122" customFormat="1" x14ac:dyDescent="0.2">
      <c r="A7" s="210">
        <v>43586</v>
      </c>
      <c r="B7" s="283">
        <f t="shared" si="2"/>
        <v>7</v>
      </c>
      <c r="C7" s="283">
        <f t="shared" si="3"/>
        <v>24478.292544</v>
      </c>
      <c r="D7" s="283">
        <v>2</v>
      </c>
      <c r="E7" s="283">
        <v>2.19</v>
      </c>
      <c r="F7" s="283">
        <v>1</v>
      </c>
      <c r="G7" s="283">
        <v>8.5299999999999994</v>
      </c>
      <c r="H7" s="283">
        <v>3</v>
      </c>
      <c r="I7" s="283">
        <v>95.37</v>
      </c>
      <c r="J7" s="283">
        <v>0</v>
      </c>
      <c r="K7" s="283">
        <v>0</v>
      </c>
      <c r="L7" s="283">
        <v>0</v>
      </c>
      <c r="M7" s="283">
        <v>0</v>
      </c>
      <c r="N7" s="283">
        <v>1</v>
      </c>
      <c r="O7" s="283">
        <v>24372.202544</v>
      </c>
    </row>
    <row r="8" spans="1:15" s="189" customFormat="1" ht="18.75" customHeight="1" x14ac:dyDescent="0.2">
      <c r="A8" s="575" t="s">
        <v>846</v>
      </c>
      <c r="B8" s="575"/>
      <c r="C8" s="575"/>
    </row>
    <row r="9" spans="1:15" s="189" customFormat="1" ht="18" customHeight="1" x14ac:dyDescent="0.2">
      <c r="A9" s="575" t="s">
        <v>56</v>
      </c>
      <c r="B9" s="575"/>
      <c r="C9" s="575"/>
    </row>
    <row r="10" spans="1:15" s="125" customFormat="1" ht="28.35" customHeight="1" x14ac:dyDescent="0.2"/>
  </sheetData>
  <mergeCells count="11">
    <mergeCell ref="A8:C8"/>
    <mergeCell ref="A9:C9"/>
    <mergeCell ref="A1:N1"/>
    <mergeCell ref="A2:A3"/>
    <mergeCell ref="B2:C2"/>
    <mergeCell ref="D2:E2"/>
    <mergeCell ref="F2:G2"/>
    <mergeCell ref="H2:I2"/>
    <mergeCell ref="J2:K2"/>
    <mergeCell ref="L2:M2"/>
    <mergeCell ref="N2:O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zoomScaleNormal="100" workbookViewId="0">
      <selection activeCell="I11" sqref="I11"/>
    </sheetView>
  </sheetViews>
  <sheetFormatPr defaultRowHeight="15" x14ac:dyDescent="0.25"/>
  <cols>
    <col min="1" max="1" width="9.7109375" style="123" customWidth="1"/>
    <col min="2" max="2" width="8.140625" style="123" customWidth="1"/>
    <col min="3" max="3" width="10" style="123" customWidth="1"/>
    <col min="4" max="4" width="9.7109375" style="123" customWidth="1"/>
    <col min="5" max="5" width="9.5703125" style="123" customWidth="1"/>
    <col min="6" max="6" width="10" style="123" customWidth="1"/>
    <col min="7" max="7" width="10.5703125" style="123" customWidth="1"/>
    <col min="8" max="8" width="8.5703125" style="123" customWidth="1"/>
    <col min="9" max="9" width="9.7109375" style="123" customWidth="1"/>
    <col min="10" max="10" width="8.85546875" style="123" customWidth="1"/>
    <col min="11" max="11" width="9.7109375" style="123" customWidth="1"/>
    <col min="12" max="12" width="4.7109375" style="123" bestFit="1" customWidth="1"/>
    <col min="13" max="16384" width="9.140625" style="123"/>
  </cols>
  <sheetData>
    <row r="1" spans="1:11" ht="18.75" customHeight="1" x14ac:dyDescent="0.25">
      <c r="A1" s="612" t="str">
        <f>'Data Summary'!$A$12</f>
        <v xml:space="preserve">Table 10:  Resource Mobilisation through QIP </v>
      </c>
      <c r="B1" s="612"/>
      <c r="C1" s="612"/>
      <c r="D1" s="612"/>
      <c r="E1" s="612"/>
      <c r="F1" s="612"/>
      <c r="G1" s="612"/>
      <c r="H1" s="612"/>
      <c r="I1" s="612"/>
    </row>
    <row r="2" spans="1:11" s="122" customFormat="1" ht="18" customHeight="1" x14ac:dyDescent="0.2">
      <c r="A2" s="591" t="s">
        <v>61</v>
      </c>
      <c r="B2" s="618" t="s">
        <v>119</v>
      </c>
      <c r="C2" s="620"/>
      <c r="D2" s="618" t="s">
        <v>120</v>
      </c>
      <c r="E2" s="620"/>
      <c r="F2" s="618" t="s">
        <v>121</v>
      </c>
      <c r="G2" s="620"/>
      <c r="H2" s="618" t="s">
        <v>122</v>
      </c>
      <c r="I2" s="620"/>
      <c r="J2" s="618" t="s">
        <v>64</v>
      </c>
      <c r="K2" s="620"/>
    </row>
    <row r="3" spans="1:11" s="122" customFormat="1" ht="41.25" customHeight="1" x14ac:dyDescent="0.2">
      <c r="A3" s="592"/>
      <c r="B3" s="124" t="s">
        <v>81</v>
      </c>
      <c r="C3" s="471" t="s">
        <v>114</v>
      </c>
      <c r="D3" s="124" t="s">
        <v>81</v>
      </c>
      <c r="E3" s="471" t="s">
        <v>114</v>
      </c>
      <c r="F3" s="124" t="s">
        <v>81</v>
      </c>
      <c r="G3" s="471" t="s">
        <v>114</v>
      </c>
      <c r="H3" s="124" t="s">
        <v>81</v>
      </c>
      <c r="I3" s="471" t="s">
        <v>114</v>
      </c>
      <c r="J3" s="124" t="s">
        <v>81</v>
      </c>
      <c r="K3" s="471" t="s">
        <v>114</v>
      </c>
    </row>
    <row r="4" spans="1:11" s="122" customFormat="1" ht="18" customHeight="1" x14ac:dyDescent="0.2">
      <c r="A4" s="209" t="s">
        <v>5</v>
      </c>
      <c r="B4" s="283">
        <v>1</v>
      </c>
      <c r="C4" s="203">
        <v>113.25139</v>
      </c>
      <c r="D4" s="283">
        <v>0</v>
      </c>
      <c r="E4" s="203">
        <v>0</v>
      </c>
      <c r="F4" s="202">
        <v>0</v>
      </c>
      <c r="G4" s="202">
        <v>0</v>
      </c>
      <c r="H4" s="283">
        <v>13</v>
      </c>
      <c r="I4" s="203">
        <v>8565.0668453950002</v>
      </c>
      <c r="J4" s="202">
        <v>14</v>
      </c>
      <c r="K4" s="203">
        <v>8678.3182353949996</v>
      </c>
    </row>
    <row r="5" spans="1:11" s="122" customFormat="1" ht="18" customHeight="1" x14ac:dyDescent="0.2">
      <c r="A5" s="209" t="s">
        <v>6</v>
      </c>
      <c r="B5" s="283">
        <v>0</v>
      </c>
      <c r="C5" s="203">
        <v>0</v>
      </c>
      <c r="D5" s="283">
        <v>0</v>
      </c>
      <c r="E5" s="203">
        <v>0</v>
      </c>
      <c r="F5" s="202">
        <v>0</v>
      </c>
      <c r="G5" s="202">
        <v>0</v>
      </c>
      <c r="H5" s="283">
        <v>1</v>
      </c>
      <c r="I5" s="203">
        <v>3172.82</v>
      </c>
      <c r="J5" s="202">
        <v>1</v>
      </c>
      <c r="K5" s="203">
        <v>3172.82</v>
      </c>
    </row>
    <row r="6" spans="1:11" s="122" customFormat="1" ht="18" customHeight="1" x14ac:dyDescent="0.2">
      <c r="A6" s="157" t="s">
        <v>70</v>
      </c>
      <c r="B6" s="283">
        <v>0</v>
      </c>
      <c r="C6" s="203">
        <v>0</v>
      </c>
      <c r="D6" s="283">
        <v>0</v>
      </c>
      <c r="E6" s="203">
        <v>0</v>
      </c>
      <c r="F6" s="202">
        <v>0</v>
      </c>
      <c r="G6" s="202">
        <v>0</v>
      </c>
      <c r="H6" s="283">
        <v>1</v>
      </c>
      <c r="I6" s="203">
        <v>3172.82</v>
      </c>
      <c r="J6" s="202">
        <v>1</v>
      </c>
      <c r="K6" s="203">
        <v>3172.82</v>
      </c>
    </row>
    <row r="7" spans="1:11" s="122" customFormat="1" ht="18" customHeight="1" x14ac:dyDescent="0.2">
      <c r="A7" s="210">
        <v>43586</v>
      </c>
      <c r="B7" s="283">
        <v>0</v>
      </c>
      <c r="C7" s="203">
        <v>0</v>
      </c>
      <c r="D7" s="283">
        <v>0</v>
      </c>
      <c r="E7" s="203">
        <v>0</v>
      </c>
      <c r="F7" s="202">
        <v>0</v>
      </c>
      <c r="G7" s="202">
        <v>0</v>
      </c>
      <c r="H7" s="283">
        <v>0</v>
      </c>
      <c r="I7" s="203">
        <v>0</v>
      </c>
      <c r="J7" s="202">
        <v>0</v>
      </c>
      <c r="K7" s="203">
        <v>0</v>
      </c>
    </row>
    <row r="8" spans="1:11" s="189" customFormat="1" ht="12" x14ac:dyDescent="0.2">
      <c r="A8" s="623" t="s">
        <v>983</v>
      </c>
      <c r="B8" s="623"/>
      <c r="C8" s="623"/>
      <c r="D8" s="623"/>
      <c r="E8" s="623"/>
      <c r="F8" s="623"/>
      <c r="G8" s="623"/>
      <c r="H8" s="623"/>
      <c r="I8" s="623"/>
      <c r="J8" s="623"/>
      <c r="K8" s="623"/>
    </row>
    <row r="9" spans="1:11" s="189" customFormat="1" ht="13.5" customHeight="1" x14ac:dyDescent="0.2">
      <c r="A9" s="594" t="s">
        <v>846</v>
      </c>
      <c r="B9" s="594"/>
      <c r="C9" s="594"/>
      <c r="D9" s="594"/>
      <c r="E9" s="594"/>
      <c r="F9" s="594"/>
      <c r="G9" s="594"/>
      <c r="H9" s="594"/>
      <c r="I9" s="594"/>
    </row>
    <row r="10" spans="1:11" s="189" customFormat="1" ht="13.5" customHeight="1" x14ac:dyDescent="0.2">
      <c r="A10" s="594" t="s">
        <v>123</v>
      </c>
      <c r="B10" s="594"/>
      <c r="C10" s="594"/>
      <c r="D10" s="594"/>
      <c r="E10" s="594"/>
      <c r="F10" s="594"/>
      <c r="G10" s="594"/>
      <c r="H10" s="594"/>
      <c r="I10" s="594"/>
    </row>
    <row r="11" spans="1:11" s="125" customFormat="1" ht="24.6" customHeight="1" x14ac:dyDescent="0.2"/>
  </sheetData>
  <mergeCells count="10">
    <mergeCell ref="J2:K2"/>
    <mergeCell ref="A9:I9"/>
    <mergeCell ref="A10:I10"/>
    <mergeCell ref="A1:I1"/>
    <mergeCell ref="A2:A3"/>
    <mergeCell ref="B2:C2"/>
    <mergeCell ref="D2:E2"/>
    <mergeCell ref="F2:G2"/>
    <mergeCell ref="H2:I2"/>
    <mergeCell ref="A8:K8"/>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zoomScaleNormal="100" workbookViewId="0">
      <selection activeCell="F10" sqref="F10"/>
    </sheetView>
  </sheetViews>
  <sheetFormatPr defaultRowHeight="15" x14ac:dyDescent="0.25"/>
  <cols>
    <col min="1" max="1" width="8.42578125" style="123" customWidth="1"/>
    <col min="2" max="2" width="10" style="123" customWidth="1"/>
    <col min="3" max="3" width="10.7109375" style="123" customWidth="1"/>
    <col min="4" max="4" width="8.5703125" style="123" customWidth="1"/>
    <col min="5" max="5" width="10.140625" style="123" customWidth="1"/>
    <col min="6" max="6" width="9.140625" style="123" customWidth="1"/>
    <col min="7" max="7" width="10.7109375" style="123" customWidth="1"/>
    <col min="8" max="8" width="9.140625" style="123" customWidth="1"/>
    <col min="9" max="9" width="11.28515625" style="123" customWidth="1"/>
    <col min="10" max="10" width="9.5703125" style="123" customWidth="1"/>
    <col min="11" max="11" width="12.5703125" style="123" customWidth="1"/>
    <col min="12" max="12" width="4.7109375" style="123" bestFit="1" customWidth="1"/>
    <col min="13" max="16384" width="9.140625" style="123"/>
  </cols>
  <sheetData>
    <row r="1" spans="1:11" ht="14.25" customHeight="1" x14ac:dyDescent="0.25">
      <c r="A1" s="612" t="str">
        <f>'Data Summary'!$A$13</f>
        <v>Table 11:  Resource Mobilisation through Preferential Allotments</v>
      </c>
      <c r="B1" s="612"/>
      <c r="C1" s="612"/>
      <c r="D1" s="612"/>
      <c r="E1" s="612"/>
      <c r="F1" s="612"/>
      <c r="G1" s="612"/>
      <c r="H1" s="612"/>
      <c r="I1" s="612"/>
    </row>
    <row r="2" spans="1:11" s="125" customFormat="1" ht="15.75" customHeight="1" x14ac:dyDescent="0.2">
      <c r="A2" s="591" t="s">
        <v>490</v>
      </c>
      <c r="B2" s="618" t="s">
        <v>119</v>
      </c>
      <c r="C2" s="620"/>
      <c r="D2" s="618" t="s">
        <v>120</v>
      </c>
      <c r="E2" s="620"/>
      <c r="F2" s="618" t="s">
        <v>121</v>
      </c>
      <c r="G2" s="620"/>
      <c r="H2" s="618" t="s">
        <v>122</v>
      </c>
      <c r="I2" s="620"/>
      <c r="J2" s="618" t="s">
        <v>64</v>
      </c>
      <c r="K2" s="620"/>
    </row>
    <row r="3" spans="1:11" s="125" customFormat="1" ht="39" customHeight="1" x14ac:dyDescent="0.2">
      <c r="A3" s="592"/>
      <c r="B3" s="124" t="s">
        <v>125</v>
      </c>
      <c r="C3" s="7" t="s">
        <v>114</v>
      </c>
      <c r="D3" s="124" t="s">
        <v>125</v>
      </c>
      <c r="E3" s="7" t="s">
        <v>114</v>
      </c>
      <c r="F3" s="124" t="s">
        <v>125</v>
      </c>
      <c r="G3" s="7" t="s">
        <v>113</v>
      </c>
      <c r="H3" s="124" t="s">
        <v>125</v>
      </c>
      <c r="I3" s="7" t="s">
        <v>114</v>
      </c>
      <c r="J3" s="124" t="s">
        <v>81</v>
      </c>
      <c r="K3" s="7" t="s">
        <v>113</v>
      </c>
    </row>
    <row r="4" spans="1:11" s="125" customFormat="1" ht="15" customHeight="1" x14ac:dyDescent="0.25">
      <c r="A4" s="209" t="s">
        <v>5</v>
      </c>
      <c r="B4" s="126">
        <v>208</v>
      </c>
      <c r="C4" s="150">
        <v>10824.710000000001</v>
      </c>
      <c r="D4" s="126">
        <v>20</v>
      </c>
      <c r="E4" s="150">
        <v>8032.0049999999992</v>
      </c>
      <c r="F4" s="126">
        <v>4</v>
      </c>
      <c r="G4" s="150">
        <v>23.59</v>
      </c>
      <c r="H4" s="126">
        <v>171</v>
      </c>
      <c r="I4" s="150">
        <v>191281.41999999998</v>
      </c>
      <c r="J4" s="126">
        <v>403</v>
      </c>
      <c r="K4" s="150">
        <v>210161.72499999998</v>
      </c>
    </row>
    <row r="5" spans="1:11" s="125" customFormat="1" ht="15" customHeight="1" x14ac:dyDescent="0.25">
      <c r="A5" s="209" t="s">
        <v>6</v>
      </c>
      <c r="B5" s="126">
        <f>SUM(B6:B7)</f>
        <v>31</v>
      </c>
      <c r="C5" s="150">
        <f t="shared" ref="C5:K5" si="0">SUM(C6:C7)</f>
        <v>296.51</v>
      </c>
      <c r="D5" s="126">
        <f t="shared" si="0"/>
        <v>1</v>
      </c>
      <c r="E5" s="150">
        <f t="shared" si="0"/>
        <v>5.87</v>
      </c>
      <c r="F5" s="126">
        <f t="shared" si="0"/>
        <v>0</v>
      </c>
      <c r="G5" s="150">
        <f t="shared" si="0"/>
        <v>0</v>
      </c>
      <c r="H5" s="126">
        <f t="shared" si="0"/>
        <v>28</v>
      </c>
      <c r="I5" s="150">
        <f t="shared" si="0"/>
        <v>55376.498999999996</v>
      </c>
      <c r="J5" s="126">
        <f t="shared" si="0"/>
        <v>60</v>
      </c>
      <c r="K5" s="150">
        <f t="shared" si="0"/>
        <v>55678.879000000001</v>
      </c>
    </row>
    <row r="6" spans="1:11" s="125" customFormat="1" ht="15" customHeight="1" x14ac:dyDescent="0.25">
      <c r="A6" s="157" t="s">
        <v>70</v>
      </c>
      <c r="B6" s="126">
        <v>7</v>
      </c>
      <c r="C6" s="150">
        <v>21.53</v>
      </c>
      <c r="D6" s="126">
        <v>0</v>
      </c>
      <c r="E6" s="150">
        <v>0</v>
      </c>
      <c r="F6" s="126">
        <v>0</v>
      </c>
      <c r="G6" s="150">
        <v>0</v>
      </c>
      <c r="H6" s="126">
        <v>16</v>
      </c>
      <c r="I6" s="150">
        <v>35806.25</v>
      </c>
      <c r="J6" s="126">
        <v>23</v>
      </c>
      <c r="K6" s="150">
        <v>35827.78</v>
      </c>
    </row>
    <row r="7" spans="1:11" s="125" customFormat="1" ht="15" customHeight="1" x14ac:dyDescent="0.25">
      <c r="A7" s="210">
        <v>43586</v>
      </c>
      <c r="B7" s="126">
        <v>24</v>
      </c>
      <c r="C7" s="150">
        <v>274.98</v>
      </c>
      <c r="D7" s="126">
        <v>1</v>
      </c>
      <c r="E7" s="150">
        <v>5.87</v>
      </c>
      <c r="F7" s="126">
        <v>0</v>
      </c>
      <c r="G7" s="150">
        <v>0</v>
      </c>
      <c r="H7" s="126">
        <v>12</v>
      </c>
      <c r="I7" s="150">
        <v>19570.249</v>
      </c>
      <c r="J7" s="126">
        <f>H7+F7+D7+B7</f>
        <v>37</v>
      </c>
      <c r="K7" s="150">
        <f>I7+G7+E7+C7</f>
        <v>19851.098999999998</v>
      </c>
    </row>
    <row r="8" spans="1:11" s="189" customFormat="1" ht="14.25" customHeight="1" x14ac:dyDescent="0.2">
      <c r="A8" s="624" t="s">
        <v>846</v>
      </c>
      <c r="B8" s="624"/>
      <c r="C8" s="624"/>
      <c r="D8" s="624"/>
      <c r="E8" s="624"/>
      <c r="F8" s="624"/>
      <c r="G8" s="624"/>
      <c r="H8" s="624"/>
      <c r="I8" s="624"/>
      <c r="J8" s="624"/>
      <c r="K8" s="624"/>
    </row>
    <row r="9" spans="1:11" s="189" customFormat="1" ht="13.5" customHeight="1" x14ac:dyDescent="0.2">
      <c r="A9" s="147" t="s">
        <v>123</v>
      </c>
      <c r="B9" s="147"/>
    </row>
    <row r="10" spans="1:11" s="125" customFormat="1" ht="28.35" customHeight="1" x14ac:dyDescent="0.2"/>
  </sheetData>
  <mergeCells count="8">
    <mergeCell ref="A8:K8"/>
    <mergeCell ref="J2:K2"/>
    <mergeCell ref="A1:I1"/>
    <mergeCell ref="A2:A3"/>
    <mergeCell ref="B2:C2"/>
    <mergeCell ref="D2:E2"/>
    <mergeCell ref="F2:G2"/>
    <mergeCell ref="H2:I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E8" sqref="E8"/>
    </sheetView>
  </sheetViews>
  <sheetFormatPr defaultRowHeight="15" x14ac:dyDescent="0.25"/>
  <cols>
    <col min="1" max="1" width="21.85546875" style="123" customWidth="1"/>
    <col min="2" max="2" width="23.85546875" style="123" customWidth="1"/>
    <col min="3" max="3" width="27" style="123" customWidth="1"/>
    <col min="4" max="16384" width="9.140625" style="123"/>
  </cols>
  <sheetData>
    <row r="1" spans="1:15" x14ac:dyDescent="0.25">
      <c r="A1" s="599" t="str">
        <f>'Data Summary'!$A$14</f>
        <v>Table 12:  Capital Raised from the Primary Market through Corporate Bonds</v>
      </c>
      <c r="B1" s="599"/>
      <c r="C1" s="599"/>
      <c r="D1" s="599"/>
      <c r="E1" s="599"/>
      <c r="F1" s="599"/>
      <c r="G1" s="599"/>
      <c r="H1" s="599"/>
      <c r="I1" s="599"/>
      <c r="J1" s="599"/>
      <c r="K1" s="599"/>
      <c r="L1" s="599"/>
      <c r="M1" s="599"/>
      <c r="N1" s="599"/>
      <c r="O1" s="599"/>
    </row>
    <row r="2" spans="1:15" x14ac:dyDescent="0.25">
      <c r="A2" s="581" t="s">
        <v>82</v>
      </c>
      <c r="B2" s="587" t="s">
        <v>64</v>
      </c>
      <c r="C2" s="588"/>
    </row>
    <row r="3" spans="1:15" x14ac:dyDescent="0.25">
      <c r="A3" s="583"/>
      <c r="B3" s="153" t="s">
        <v>83</v>
      </c>
      <c r="C3" s="471" t="s">
        <v>84</v>
      </c>
    </row>
    <row r="4" spans="1:15" x14ac:dyDescent="0.25">
      <c r="A4" s="160" t="s">
        <v>5</v>
      </c>
      <c r="B4" s="149">
        <v>25</v>
      </c>
      <c r="C4" s="150">
        <v>36679</v>
      </c>
    </row>
    <row r="5" spans="1:15" x14ac:dyDescent="0.25">
      <c r="A5" s="160" t="s">
        <v>6</v>
      </c>
      <c r="B5" s="149">
        <f>B6+B7</f>
        <v>9</v>
      </c>
      <c r="C5" s="149">
        <f>C6+C7</f>
        <v>3239.4800000000005</v>
      </c>
    </row>
    <row r="6" spans="1:15" x14ac:dyDescent="0.25">
      <c r="A6" s="148" t="s">
        <v>70</v>
      </c>
      <c r="B6" s="149">
        <v>5</v>
      </c>
      <c r="C6" s="150">
        <v>2191.0500000000002</v>
      </c>
    </row>
    <row r="7" spans="1:15" x14ac:dyDescent="0.25">
      <c r="A7" s="216">
        <v>43586</v>
      </c>
      <c r="B7" s="149">
        <v>4</v>
      </c>
      <c r="C7" s="150">
        <v>1048.43</v>
      </c>
    </row>
    <row r="8" spans="1:15" s="225" customFormat="1" ht="12" x14ac:dyDescent="0.2">
      <c r="A8" s="225" t="s">
        <v>846</v>
      </c>
    </row>
    <row r="9" spans="1:15" s="225" customFormat="1" ht="12" x14ac:dyDescent="0.2">
      <c r="A9" s="147" t="s">
        <v>85</v>
      </c>
      <c r="B9" s="147"/>
      <c r="C9" s="226"/>
      <c r="D9" s="226"/>
      <c r="E9" s="226"/>
      <c r="F9" s="226"/>
      <c r="G9" s="226"/>
      <c r="H9" s="226"/>
      <c r="I9" s="226"/>
      <c r="J9" s="226"/>
      <c r="K9" s="226"/>
    </row>
  </sheetData>
  <mergeCells count="3">
    <mergeCell ref="A1:O1"/>
    <mergeCell ref="A2:A3"/>
    <mergeCell ref="B2:C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Normal="100" workbookViewId="0">
      <selection activeCell="F12" sqref="F12"/>
    </sheetView>
  </sheetViews>
  <sheetFormatPr defaultRowHeight="15" x14ac:dyDescent="0.25"/>
  <cols>
    <col min="1" max="1" width="14.7109375" style="123" bestFit="1" customWidth="1"/>
    <col min="2" max="2" width="10.7109375" style="123" customWidth="1"/>
    <col min="3" max="3" width="14.140625" style="123" customWidth="1"/>
    <col min="4" max="4" width="11.7109375" style="123" customWidth="1"/>
    <col min="5" max="5" width="13.7109375" style="123" customWidth="1"/>
    <col min="6" max="6" width="11.140625" style="123" customWidth="1"/>
    <col min="7" max="7" width="13.42578125" style="123" customWidth="1"/>
    <col min="8" max="8" width="9.85546875" style="123" customWidth="1"/>
    <col min="9" max="9" width="11.85546875" style="123" customWidth="1"/>
    <col min="10" max="10" width="4.7109375" style="123" bestFit="1" customWidth="1"/>
    <col min="11" max="16384" width="9.140625" style="123"/>
  </cols>
  <sheetData>
    <row r="1" spans="1:9" ht="15.75" customHeight="1" x14ac:dyDescent="0.25">
      <c r="A1" s="625" t="str">
        <f>'Data Summary'!$A$15</f>
        <v>Table 13:  Resource Mobilisation through Private Placement of Corporate Debt</v>
      </c>
      <c r="B1" s="625"/>
      <c r="C1" s="625"/>
      <c r="D1" s="625"/>
      <c r="E1" s="625"/>
      <c r="F1" s="625"/>
      <c r="G1" s="625"/>
      <c r="H1" s="625"/>
      <c r="I1" s="625"/>
    </row>
    <row r="2" spans="1:9" s="125" customFormat="1" ht="18" customHeight="1" x14ac:dyDescent="0.25">
      <c r="A2" s="626" t="s">
        <v>124</v>
      </c>
      <c r="B2" s="587" t="s">
        <v>119</v>
      </c>
      <c r="C2" s="588"/>
      <c r="D2" s="587" t="s">
        <v>120</v>
      </c>
      <c r="E2" s="588"/>
      <c r="F2" s="587" t="s">
        <v>122</v>
      </c>
      <c r="G2" s="588"/>
      <c r="H2" s="587" t="s">
        <v>126</v>
      </c>
      <c r="I2" s="588"/>
    </row>
    <row r="3" spans="1:9" s="125" customFormat="1" ht="27" customHeight="1" x14ac:dyDescent="0.25">
      <c r="A3" s="627"/>
      <c r="B3" s="153" t="s">
        <v>127</v>
      </c>
      <c r="C3" s="471" t="s">
        <v>113</v>
      </c>
      <c r="D3" s="153" t="s">
        <v>127</v>
      </c>
      <c r="E3" s="471" t="s">
        <v>114</v>
      </c>
      <c r="F3" s="153" t="s">
        <v>127</v>
      </c>
      <c r="G3" s="471" t="s">
        <v>114</v>
      </c>
      <c r="H3" s="153" t="s">
        <v>127</v>
      </c>
      <c r="I3" s="471" t="s">
        <v>114</v>
      </c>
    </row>
    <row r="4" spans="1:9" s="125" customFormat="1" ht="18" customHeight="1" x14ac:dyDescent="0.25">
      <c r="A4" s="160" t="s">
        <v>5</v>
      </c>
      <c r="B4" s="158">
        <v>479</v>
      </c>
      <c r="C4" s="159">
        <v>177592.58790000001</v>
      </c>
      <c r="D4" s="158">
        <v>1703</v>
      </c>
      <c r="E4" s="159">
        <v>247190.35226000001</v>
      </c>
      <c r="F4" s="158">
        <v>176</v>
      </c>
      <c r="G4" s="159">
        <v>185274.02249999999</v>
      </c>
      <c r="H4" s="158">
        <v>2358</v>
      </c>
      <c r="I4" s="159">
        <v>579424.55266000004</v>
      </c>
    </row>
    <row r="5" spans="1:9" s="125" customFormat="1" ht="18" customHeight="1" x14ac:dyDescent="0.25">
      <c r="A5" s="160" t="s">
        <v>6</v>
      </c>
      <c r="B5" s="158">
        <f>SUM(B6:B7)</f>
        <v>78</v>
      </c>
      <c r="C5" s="155">
        <f t="shared" ref="C5:I5" si="0">SUM(C6:C7)</f>
        <v>45896.493000000002</v>
      </c>
      <c r="D5" s="158">
        <f t="shared" si="0"/>
        <v>265</v>
      </c>
      <c r="E5" s="155">
        <f t="shared" si="0"/>
        <v>45099.600000000006</v>
      </c>
      <c r="F5" s="158">
        <f t="shared" si="0"/>
        <v>21</v>
      </c>
      <c r="G5" s="155">
        <f t="shared" si="0"/>
        <v>22645.353999999999</v>
      </c>
      <c r="H5" s="158">
        <f t="shared" si="0"/>
        <v>364</v>
      </c>
      <c r="I5" s="159">
        <f t="shared" si="0"/>
        <v>113641.45699999999</v>
      </c>
    </row>
    <row r="6" spans="1:9" s="125" customFormat="1" ht="18" customHeight="1" x14ac:dyDescent="0.25">
      <c r="A6" s="148" t="s">
        <v>70</v>
      </c>
      <c r="B6" s="158">
        <v>39</v>
      </c>
      <c r="C6" s="155">
        <v>26394.183000000001</v>
      </c>
      <c r="D6" s="158">
        <v>174</v>
      </c>
      <c r="E6" s="155">
        <v>31434.83</v>
      </c>
      <c r="F6" s="158">
        <v>11</v>
      </c>
      <c r="G6" s="155">
        <v>12235.204</v>
      </c>
      <c r="H6" s="158">
        <v>224</v>
      </c>
      <c r="I6" s="155">
        <v>70064.217000000004</v>
      </c>
    </row>
    <row r="7" spans="1:9" s="125" customFormat="1" ht="18" customHeight="1" x14ac:dyDescent="0.25">
      <c r="A7" s="216">
        <v>43586</v>
      </c>
      <c r="B7" s="158">
        <v>39</v>
      </c>
      <c r="C7" s="155">
        <v>19502.310000000001</v>
      </c>
      <c r="D7" s="158">
        <v>91</v>
      </c>
      <c r="E7" s="155">
        <v>13664.770000000002</v>
      </c>
      <c r="F7" s="158">
        <v>10</v>
      </c>
      <c r="G7" s="155">
        <v>10410.15</v>
      </c>
      <c r="H7" s="158">
        <v>140</v>
      </c>
      <c r="I7" s="155">
        <v>43577.24</v>
      </c>
    </row>
    <row r="8" spans="1:9" s="189" customFormat="1" ht="15" customHeight="1" x14ac:dyDescent="0.2">
      <c r="A8" s="575" t="str">
        <f>'12'!$A$8</f>
        <v>$ indicatesas on May 31, 2019</v>
      </c>
      <c r="B8" s="575"/>
    </row>
    <row r="9" spans="1:9" s="189" customFormat="1" ht="13.5" customHeight="1" x14ac:dyDescent="0.2">
      <c r="A9" s="575" t="s">
        <v>128</v>
      </c>
      <c r="B9" s="575"/>
    </row>
    <row r="10" spans="1:9" s="125" customFormat="1" ht="27.6" customHeight="1" x14ac:dyDescent="0.2"/>
  </sheetData>
  <mergeCells count="8">
    <mergeCell ref="A8:B8"/>
    <mergeCell ref="A9:B9"/>
    <mergeCell ref="A1:I1"/>
    <mergeCell ref="A2:A3"/>
    <mergeCell ref="B2:C2"/>
    <mergeCell ref="D2:E2"/>
    <mergeCell ref="F2:G2"/>
    <mergeCell ref="H2:I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Normal="100" workbookViewId="0">
      <selection activeCell="C5" sqref="C5:C6"/>
    </sheetView>
  </sheetViews>
  <sheetFormatPr defaultRowHeight="15" x14ac:dyDescent="0.25"/>
  <cols>
    <col min="1" max="1" width="14.7109375" style="123" bestFit="1" customWidth="1"/>
    <col min="2" max="2" width="9.85546875" style="123" customWidth="1"/>
    <col min="3" max="3" width="14" style="123" customWidth="1"/>
    <col min="4" max="4" width="10.5703125" style="123" customWidth="1"/>
    <col min="5" max="5" width="13.7109375" style="123" customWidth="1"/>
    <col min="6" max="6" width="9.7109375" style="123" customWidth="1"/>
    <col min="7" max="7" width="13.140625" style="123" customWidth="1"/>
    <col min="8" max="8" width="9.7109375" style="123" bestFit="1" customWidth="1"/>
    <col min="9" max="9" width="13.28515625" style="123" customWidth="1"/>
    <col min="10" max="10" width="4.7109375" style="123" bestFit="1" customWidth="1"/>
    <col min="11" max="16384" width="9.140625" style="123"/>
  </cols>
  <sheetData>
    <row r="1" spans="1:9" ht="15" customHeight="1" x14ac:dyDescent="0.25">
      <c r="A1" s="612" t="str">
        <f>'Data Summary'!$A$16</f>
        <v>Table 14:  Trading in the Corporate Debt Market (Reported Trades)</v>
      </c>
      <c r="B1" s="612"/>
      <c r="C1" s="612"/>
      <c r="D1" s="612"/>
      <c r="E1" s="612"/>
      <c r="F1" s="612"/>
      <c r="G1" s="612"/>
      <c r="H1" s="612"/>
      <c r="I1" s="612"/>
    </row>
    <row r="2" spans="1:9" s="125" customFormat="1" ht="18" customHeight="1" x14ac:dyDescent="0.2">
      <c r="A2" s="628" t="s">
        <v>61</v>
      </c>
      <c r="B2" s="628" t="s">
        <v>129</v>
      </c>
      <c r="C2" s="628"/>
      <c r="D2" s="628" t="s">
        <v>130</v>
      </c>
      <c r="E2" s="628"/>
      <c r="F2" s="628" t="s">
        <v>131</v>
      </c>
      <c r="G2" s="628"/>
      <c r="H2" s="609" t="s">
        <v>64</v>
      </c>
      <c r="I2" s="609"/>
    </row>
    <row r="3" spans="1:9" s="125" customFormat="1" ht="39" customHeight="1" x14ac:dyDescent="0.2">
      <c r="A3" s="628"/>
      <c r="B3" s="217" t="s">
        <v>132</v>
      </c>
      <c r="C3" s="470" t="s">
        <v>133</v>
      </c>
      <c r="D3" s="217" t="s">
        <v>132</v>
      </c>
      <c r="E3" s="470" t="s">
        <v>133</v>
      </c>
      <c r="F3" s="217" t="s">
        <v>132</v>
      </c>
      <c r="G3" s="470" t="s">
        <v>133</v>
      </c>
      <c r="H3" s="217" t="s">
        <v>132</v>
      </c>
      <c r="I3" s="470" t="s">
        <v>133</v>
      </c>
    </row>
    <row r="4" spans="1:9" s="125" customFormat="1" ht="18" customHeight="1" x14ac:dyDescent="0.2">
      <c r="A4" s="228" t="s">
        <v>5</v>
      </c>
      <c r="B4" s="231">
        <v>43157</v>
      </c>
      <c r="C4" s="232">
        <v>631252.22</v>
      </c>
      <c r="D4" s="231">
        <v>60370</v>
      </c>
      <c r="E4" s="232">
        <v>1168407.6599999999</v>
      </c>
      <c r="F4" s="233">
        <v>0</v>
      </c>
      <c r="G4" s="233">
        <v>0</v>
      </c>
      <c r="H4" s="232">
        <v>103527</v>
      </c>
      <c r="I4" s="234">
        <v>1799659.88</v>
      </c>
    </row>
    <row r="5" spans="1:9" s="125" customFormat="1" ht="18" customHeight="1" x14ac:dyDescent="0.2">
      <c r="A5" s="228" t="s">
        <v>6</v>
      </c>
      <c r="B5" s="231">
        <f>SUM(B6:B7)</f>
        <v>8783</v>
      </c>
      <c r="C5" s="232">
        <f t="shared" ref="C5:I5" si="0">SUM(C6:C7)</f>
        <v>118865.17</v>
      </c>
      <c r="D5" s="231">
        <f t="shared" si="0"/>
        <v>12030</v>
      </c>
      <c r="E5" s="232">
        <f t="shared" si="0"/>
        <v>220665.57</v>
      </c>
      <c r="F5" s="231">
        <f t="shared" si="0"/>
        <v>0</v>
      </c>
      <c r="G5" s="232">
        <f t="shared" si="0"/>
        <v>0</v>
      </c>
      <c r="H5" s="231">
        <f t="shared" si="0"/>
        <v>20813</v>
      </c>
      <c r="I5" s="232">
        <f t="shared" si="0"/>
        <v>339530.74</v>
      </c>
    </row>
    <row r="6" spans="1:9" s="125" customFormat="1" ht="18" customHeight="1" x14ac:dyDescent="0.2">
      <c r="A6" s="229" t="s">
        <v>70</v>
      </c>
      <c r="B6" s="231">
        <v>3944</v>
      </c>
      <c r="C6" s="233">
        <v>53755.86</v>
      </c>
      <c r="D6" s="231">
        <v>5380</v>
      </c>
      <c r="E6" s="233">
        <v>90747.82</v>
      </c>
      <c r="F6" s="231">
        <v>0</v>
      </c>
      <c r="G6" s="233">
        <v>0</v>
      </c>
      <c r="H6" s="231">
        <v>9324</v>
      </c>
      <c r="I6" s="232">
        <v>144503.67999999999</v>
      </c>
    </row>
    <row r="7" spans="1:9" s="125" customFormat="1" ht="18" customHeight="1" x14ac:dyDescent="0.2">
      <c r="A7" s="230">
        <v>43586</v>
      </c>
      <c r="B7" s="231">
        <v>4839</v>
      </c>
      <c r="C7" s="233">
        <v>65109.31</v>
      </c>
      <c r="D7" s="231">
        <v>6650</v>
      </c>
      <c r="E7" s="232">
        <v>129917.75</v>
      </c>
      <c r="F7" s="231">
        <v>0</v>
      </c>
      <c r="G7" s="233">
        <v>0</v>
      </c>
      <c r="H7" s="231">
        <v>11489</v>
      </c>
      <c r="I7" s="232">
        <v>195027.06</v>
      </c>
    </row>
    <row r="8" spans="1:9" s="189" customFormat="1" ht="12" x14ac:dyDescent="0.2">
      <c r="A8" s="575" t="str">
        <f>'12'!$A$8</f>
        <v>$ indicatesas on May 31, 2019</v>
      </c>
      <c r="B8" s="575"/>
    </row>
    <row r="9" spans="1:9" s="189" customFormat="1" ht="12" x14ac:dyDescent="0.2">
      <c r="A9" s="575" t="s">
        <v>123</v>
      </c>
      <c r="B9" s="575"/>
    </row>
    <row r="10" spans="1:9" s="125" customFormat="1" ht="28.35" customHeight="1" x14ac:dyDescent="0.2"/>
  </sheetData>
  <mergeCells count="8">
    <mergeCell ref="A8:B8"/>
    <mergeCell ref="A9:B9"/>
    <mergeCell ref="A1:I1"/>
    <mergeCell ref="A2:A3"/>
    <mergeCell ref="B2:C2"/>
    <mergeCell ref="D2:E2"/>
    <mergeCell ref="F2:G2"/>
    <mergeCell ref="H2:I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opLeftCell="G1" zoomScaleNormal="100" workbookViewId="0">
      <selection activeCell="Q13" sqref="Q13"/>
    </sheetView>
  </sheetViews>
  <sheetFormatPr defaultRowHeight="15" x14ac:dyDescent="0.25"/>
  <cols>
    <col min="1" max="1" width="10.7109375" style="123" bestFit="1" customWidth="1"/>
    <col min="2" max="13" width="14.7109375" style="123" bestFit="1" customWidth="1"/>
    <col min="14" max="14" width="4.7109375" style="123" bestFit="1" customWidth="1"/>
    <col min="15" max="16384" width="9.140625" style="123"/>
  </cols>
  <sheetData>
    <row r="1" spans="1:13" ht="16.5" customHeight="1" x14ac:dyDescent="0.25">
      <c r="A1" s="612" t="str">
        <f>'Data Summary'!$A$17</f>
        <v>Table 15:  Ratings Assigned for Long-term Corporate Debt Securities (Maturity = 1 year)</v>
      </c>
      <c r="B1" s="612"/>
      <c r="C1" s="612"/>
      <c r="D1" s="612"/>
      <c r="E1" s="612"/>
      <c r="F1" s="612"/>
      <c r="G1" s="612"/>
      <c r="H1" s="612"/>
      <c r="I1" s="612"/>
      <c r="J1" s="612"/>
      <c r="K1" s="612"/>
      <c r="L1" s="612"/>
      <c r="M1" s="612"/>
    </row>
    <row r="2" spans="1:13" s="125" customFormat="1" ht="18" customHeight="1" x14ac:dyDescent="0.25">
      <c r="A2" s="629" t="s">
        <v>134</v>
      </c>
      <c r="B2" s="587" t="s">
        <v>135</v>
      </c>
      <c r="C2" s="631"/>
      <c r="D2" s="631"/>
      <c r="E2" s="631"/>
      <c r="F2" s="631"/>
      <c r="G2" s="631"/>
      <c r="H2" s="631"/>
      <c r="I2" s="588"/>
      <c r="J2" s="614" t="s">
        <v>136</v>
      </c>
      <c r="K2" s="615"/>
      <c r="L2" s="614" t="s">
        <v>64</v>
      </c>
      <c r="M2" s="615"/>
    </row>
    <row r="3" spans="1:13" s="125" customFormat="1" ht="18" customHeight="1" x14ac:dyDescent="0.25">
      <c r="A3" s="630"/>
      <c r="B3" s="587" t="s">
        <v>137</v>
      </c>
      <c r="C3" s="588"/>
      <c r="D3" s="587" t="s">
        <v>138</v>
      </c>
      <c r="E3" s="588"/>
      <c r="F3" s="587" t="s">
        <v>139</v>
      </c>
      <c r="G3" s="588"/>
      <c r="H3" s="587" t="s">
        <v>140</v>
      </c>
      <c r="I3" s="588"/>
      <c r="J3" s="616"/>
      <c r="K3" s="617"/>
      <c r="L3" s="616"/>
      <c r="M3" s="617"/>
    </row>
    <row r="4" spans="1:13" s="125" customFormat="1" ht="27" customHeight="1" x14ac:dyDescent="0.25">
      <c r="A4" s="160" t="s">
        <v>141</v>
      </c>
      <c r="B4" s="161" t="s">
        <v>83</v>
      </c>
      <c r="C4" s="471" t="s">
        <v>84</v>
      </c>
      <c r="D4" s="161" t="s">
        <v>83</v>
      </c>
      <c r="E4" s="471" t="s">
        <v>142</v>
      </c>
      <c r="F4" s="161" t="s">
        <v>83</v>
      </c>
      <c r="G4" s="471" t="s">
        <v>142</v>
      </c>
      <c r="H4" s="161" t="s">
        <v>83</v>
      </c>
      <c r="I4" s="471" t="s">
        <v>142</v>
      </c>
      <c r="J4" s="161" t="s">
        <v>83</v>
      </c>
      <c r="K4" s="471" t="s">
        <v>142</v>
      </c>
      <c r="L4" s="161" t="s">
        <v>83</v>
      </c>
      <c r="M4" s="471" t="s">
        <v>142</v>
      </c>
    </row>
    <row r="5" spans="1:13" s="125" customFormat="1" ht="18" customHeight="1" x14ac:dyDescent="0.25">
      <c r="A5" s="209" t="s">
        <v>5</v>
      </c>
      <c r="B5" s="149">
        <v>279</v>
      </c>
      <c r="C5" s="159">
        <v>2080535.77</v>
      </c>
      <c r="D5" s="149">
        <v>400</v>
      </c>
      <c r="E5" s="159">
        <v>324988.84000000003</v>
      </c>
      <c r="F5" s="149">
        <v>349</v>
      </c>
      <c r="G5" s="159">
        <v>104665.52</v>
      </c>
      <c r="H5" s="149">
        <v>241</v>
      </c>
      <c r="I5" s="149">
        <v>20878.506000000001</v>
      </c>
      <c r="J5" s="149">
        <v>57</v>
      </c>
      <c r="K5" s="149">
        <v>12738.1</v>
      </c>
      <c r="L5" s="149">
        <v>1326</v>
      </c>
      <c r="M5" s="159">
        <v>2543806.736</v>
      </c>
    </row>
    <row r="6" spans="1:13" s="125" customFormat="1" ht="18" customHeight="1" x14ac:dyDescent="0.25">
      <c r="A6" s="209" t="s">
        <v>6</v>
      </c>
      <c r="B6" s="149">
        <f>SUM(B7:B8)</f>
        <v>37</v>
      </c>
      <c r="C6" s="232">
        <f t="shared" ref="C6:M6" si="0">SUM(C7:C8)</f>
        <v>170877.52</v>
      </c>
      <c r="D6" s="149">
        <f t="shared" si="0"/>
        <v>26</v>
      </c>
      <c r="E6" s="233">
        <f t="shared" si="0"/>
        <v>12657.59</v>
      </c>
      <c r="F6" s="149">
        <f t="shared" si="0"/>
        <v>21</v>
      </c>
      <c r="G6" s="149">
        <f t="shared" si="0"/>
        <v>2684.46</v>
      </c>
      <c r="H6" s="149">
        <f t="shared" si="0"/>
        <v>11</v>
      </c>
      <c r="I6" s="149">
        <f t="shared" si="0"/>
        <v>1207.17</v>
      </c>
      <c r="J6" s="149">
        <f t="shared" si="0"/>
        <v>8</v>
      </c>
      <c r="K6" s="149">
        <f t="shared" si="0"/>
        <v>3147</v>
      </c>
      <c r="L6" s="149">
        <f t="shared" si="0"/>
        <v>102</v>
      </c>
      <c r="M6" s="232">
        <f t="shared" si="0"/>
        <v>190473.74</v>
      </c>
    </row>
    <row r="7" spans="1:13" s="125" customFormat="1" ht="18" customHeight="1" x14ac:dyDescent="0.25">
      <c r="A7" s="157" t="s">
        <v>70</v>
      </c>
      <c r="B7" s="149">
        <v>8</v>
      </c>
      <c r="C7" s="233">
        <v>105452</v>
      </c>
      <c r="D7" s="149">
        <v>4</v>
      </c>
      <c r="E7" s="233">
        <v>2850</v>
      </c>
      <c r="F7" s="149">
        <v>6</v>
      </c>
      <c r="G7" s="233">
        <v>1482.5</v>
      </c>
      <c r="H7" s="149">
        <v>1</v>
      </c>
      <c r="I7" s="233">
        <v>495</v>
      </c>
      <c r="J7" s="149">
        <v>7</v>
      </c>
      <c r="K7" s="233">
        <v>3072</v>
      </c>
      <c r="L7" s="149">
        <v>26</v>
      </c>
      <c r="M7" s="233">
        <v>113351.5</v>
      </c>
    </row>
    <row r="8" spans="1:13" s="125" customFormat="1" ht="18" customHeight="1" x14ac:dyDescent="0.25">
      <c r="A8" s="210">
        <v>43586</v>
      </c>
      <c r="B8" s="149">
        <v>29</v>
      </c>
      <c r="C8" s="233">
        <v>65425.52</v>
      </c>
      <c r="D8" s="149">
        <v>22</v>
      </c>
      <c r="E8" s="233">
        <v>9807.59</v>
      </c>
      <c r="F8" s="149">
        <v>15</v>
      </c>
      <c r="G8" s="233">
        <v>1201.96</v>
      </c>
      <c r="H8" s="149">
        <v>10</v>
      </c>
      <c r="I8" s="233">
        <v>712.17000000000007</v>
      </c>
      <c r="J8" s="149">
        <v>1</v>
      </c>
      <c r="K8" s="233">
        <v>75</v>
      </c>
      <c r="L8" s="149">
        <v>76</v>
      </c>
      <c r="M8" s="233">
        <v>77122.240000000005</v>
      </c>
    </row>
    <row r="9" spans="1:13" s="125" customFormat="1" ht="15" customHeight="1" x14ac:dyDescent="0.2">
      <c r="A9" s="575" t="s">
        <v>846</v>
      </c>
      <c r="B9" s="575"/>
      <c r="C9" s="575"/>
      <c r="D9" s="575"/>
      <c r="E9" s="575"/>
      <c r="F9" s="575"/>
    </row>
    <row r="10" spans="1:13" s="125" customFormat="1" ht="13.5" customHeight="1" x14ac:dyDescent="0.2">
      <c r="A10" s="575" t="s">
        <v>143</v>
      </c>
      <c r="B10" s="575"/>
      <c r="C10" s="575"/>
      <c r="D10" s="575"/>
      <c r="E10" s="575"/>
      <c r="F10" s="575"/>
    </row>
    <row r="11" spans="1:13" s="125" customFormat="1" ht="26.85" customHeight="1" x14ac:dyDescent="0.2"/>
    <row r="13" spans="1:13" x14ac:dyDescent="0.25">
      <c r="A13" s="123" t="s">
        <v>1035</v>
      </c>
      <c r="B13" s="18">
        <v>0</v>
      </c>
      <c r="C13" s="18">
        <v>0</v>
      </c>
      <c r="D13" s="18">
        <v>0</v>
      </c>
      <c r="E13" s="18">
        <v>0</v>
      </c>
      <c r="F13" s="18">
        <v>0</v>
      </c>
      <c r="G13" s="18">
        <v>0</v>
      </c>
      <c r="H13" s="18">
        <v>1</v>
      </c>
      <c r="I13" s="18">
        <v>100</v>
      </c>
      <c r="J13" s="18">
        <v>0</v>
      </c>
      <c r="K13" s="18">
        <v>0</v>
      </c>
    </row>
    <row r="14" spans="1:13" x14ac:dyDescent="0.25">
      <c r="A14" s="123" t="s">
        <v>1036</v>
      </c>
      <c r="B14" s="18">
        <v>6</v>
      </c>
      <c r="C14" s="18">
        <v>14637.38</v>
      </c>
      <c r="D14" s="18">
        <v>7</v>
      </c>
      <c r="E14" s="18">
        <v>3407.59</v>
      </c>
      <c r="F14" s="18">
        <v>9</v>
      </c>
      <c r="G14" s="18">
        <v>404.71</v>
      </c>
      <c r="H14" s="18">
        <v>4</v>
      </c>
      <c r="I14" s="18">
        <v>395.48</v>
      </c>
      <c r="J14" s="18">
        <v>0</v>
      </c>
      <c r="K14" s="18">
        <v>0</v>
      </c>
      <c r="L14" s="18">
        <v>26</v>
      </c>
      <c r="M14" s="18">
        <v>18845.16</v>
      </c>
    </row>
    <row r="15" spans="1:13" x14ac:dyDescent="0.25">
      <c r="A15" s="123" t="s">
        <v>1037</v>
      </c>
      <c r="B15" s="18">
        <v>12</v>
      </c>
      <c r="C15" s="18">
        <v>31703.86</v>
      </c>
      <c r="D15" s="18">
        <v>7</v>
      </c>
      <c r="E15" s="18">
        <v>1600</v>
      </c>
      <c r="F15" s="18">
        <v>2</v>
      </c>
      <c r="G15" s="18">
        <v>350</v>
      </c>
      <c r="H15" s="18">
        <v>2</v>
      </c>
      <c r="I15" s="18">
        <v>143.69</v>
      </c>
      <c r="J15" s="18">
        <v>0</v>
      </c>
      <c r="K15" s="18">
        <v>0</v>
      </c>
      <c r="L15" s="18">
        <v>23</v>
      </c>
      <c r="M15" s="18">
        <v>33797.550000000003</v>
      </c>
    </row>
    <row r="16" spans="1:13" x14ac:dyDescent="0.25">
      <c r="A16" s="123" t="s">
        <v>1038</v>
      </c>
      <c r="B16" s="554">
        <v>11</v>
      </c>
      <c r="C16" s="554">
        <v>19084.28</v>
      </c>
      <c r="D16" s="554">
        <v>6</v>
      </c>
      <c r="E16" s="554">
        <v>2825</v>
      </c>
      <c r="F16" s="554">
        <v>4</v>
      </c>
      <c r="G16" s="554">
        <v>447.25</v>
      </c>
      <c r="H16" s="554">
        <v>3</v>
      </c>
      <c r="I16" s="554">
        <v>73</v>
      </c>
      <c r="J16" s="554">
        <v>1</v>
      </c>
      <c r="K16" s="554">
        <v>75</v>
      </c>
      <c r="L16" s="554">
        <f>B16+D16+F16+H16+J16</f>
        <v>25</v>
      </c>
      <c r="M16" s="554">
        <f>C16+E16+G16+I16+K16</f>
        <v>22504.53</v>
      </c>
    </row>
    <row r="17" spans="1:13" x14ac:dyDescent="0.25">
      <c r="A17" s="123" t="s">
        <v>1041</v>
      </c>
      <c r="B17" s="18" t="s">
        <v>1042</v>
      </c>
      <c r="C17" s="18" t="s">
        <v>1042</v>
      </c>
      <c r="D17" s="18">
        <v>2</v>
      </c>
      <c r="E17" s="18">
        <v>1975</v>
      </c>
      <c r="F17" s="18" t="s">
        <v>1042</v>
      </c>
      <c r="G17" s="18" t="s">
        <v>1042</v>
      </c>
      <c r="H17" s="18" t="s">
        <v>1042</v>
      </c>
      <c r="I17" s="18" t="s">
        <v>1042</v>
      </c>
      <c r="J17" s="18" t="s">
        <v>1042</v>
      </c>
      <c r="K17" s="18" t="s">
        <v>1042</v>
      </c>
      <c r="L17" s="18">
        <v>2</v>
      </c>
      <c r="M17" s="18">
        <v>1975</v>
      </c>
    </row>
    <row r="19" spans="1:13" x14ac:dyDescent="0.25">
      <c r="B19" s="123">
        <f>SUM(B13:B18)</f>
        <v>29</v>
      </c>
      <c r="C19" s="123">
        <f t="shared" ref="C19:M19" si="1">SUM(C13:C18)</f>
        <v>65425.52</v>
      </c>
      <c r="D19" s="123">
        <f t="shared" si="1"/>
        <v>22</v>
      </c>
      <c r="E19" s="123">
        <f t="shared" si="1"/>
        <v>9807.59</v>
      </c>
      <c r="F19" s="123">
        <f t="shared" si="1"/>
        <v>15</v>
      </c>
      <c r="G19" s="123">
        <f t="shared" si="1"/>
        <v>1201.96</v>
      </c>
      <c r="H19" s="123">
        <f t="shared" si="1"/>
        <v>10</v>
      </c>
      <c r="I19" s="123">
        <f t="shared" si="1"/>
        <v>712.17000000000007</v>
      </c>
      <c r="J19" s="123">
        <f t="shared" si="1"/>
        <v>1</v>
      </c>
      <c r="K19" s="123">
        <f t="shared" si="1"/>
        <v>75</v>
      </c>
      <c r="L19" s="123">
        <f t="shared" si="1"/>
        <v>76</v>
      </c>
      <c r="M19" s="123">
        <f t="shared" si="1"/>
        <v>77122.240000000005</v>
      </c>
    </row>
  </sheetData>
  <mergeCells count="11">
    <mergeCell ref="A9:F9"/>
    <mergeCell ref="A10:F10"/>
    <mergeCell ref="A1:M1"/>
    <mergeCell ref="A2:A3"/>
    <mergeCell ref="B2:I2"/>
    <mergeCell ref="J2:K3"/>
    <mergeCell ref="L2:M3"/>
    <mergeCell ref="B3:C3"/>
    <mergeCell ref="D3:E3"/>
    <mergeCell ref="F3:G3"/>
    <mergeCell ref="H3:I3"/>
  </mergeCells>
  <pageMargins left="0.78431372549019618" right="0.78431372549019618" top="0.98039215686274517" bottom="0.98039215686274517" header="0.50980392156862753" footer="0.50980392156862753"/>
  <pageSetup paperSize="9" scale="70" orientation="landscape"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D13" sqref="D13"/>
    </sheetView>
  </sheetViews>
  <sheetFormatPr defaultRowHeight="15" x14ac:dyDescent="0.25"/>
  <cols>
    <col min="1" max="13" width="14.7109375" style="123" bestFit="1" customWidth="1"/>
    <col min="14" max="14" width="5.28515625" style="123" bestFit="1" customWidth="1"/>
    <col min="15" max="16384" width="9.140625" style="123"/>
  </cols>
  <sheetData>
    <row r="1" spans="1:13" ht="19.5" customHeight="1" x14ac:dyDescent="0.25">
      <c r="A1" s="612" t="str">
        <f>'Data Summary'!$A$18</f>
        <v>Table 16:  Ratings Assigned for Long-term Corporate Debt Securities (Maturity = 1 year)</v>
      </c>
      <c r="B1" s="612"/>
      <c r="C1" s="612"/>
      <c r="D1" s="612"/>
      <c r="E1" s="612"/>
      <c r="F1" s="612"/>
      <c r="G1" s="612"/>
      <c r="H1" s="612"/>
      <c r="I1" s="612"/>
      <c r="J1" s="612"/>
      <c r="K1" s="612"/>
      <c r="L1" s="612"/>
      <c r="M1" s="612"/>
    </row>
    <row r="2" spans="1:13" s="125" customFormat="1" ht="18" customHeight="1" x14ac:dyDescent="0.25">
      <c r="A2" s="162" t="s">
        <v>134</v>
      </c>
      <c r="B2" s="618" t="s">
        <v>144</v>
      </c>
      <c r="C2" s="620"/>
      <c r="D2" s="618" t="s">
        <v>145</v>
      </c>
      <c r="E2" s="620"/>
      <c r="F2" s="618" t="s">
        <v>146</v>
      </c>
      <c r="G2" s="620"/>
      <c r="H2" s="587" t="s">
        <v>147</v>
      </c>
      <c r="I2" s="588"/>
      <c r="J2" s="618" t="s">
        <v>148</v>
      </c>
      <c r="K2" s="620"/>
      <c r="L2" s="618" t="s">
        <v>64</v>
      </c>
      <c r="M2" s="620"/>
    </row>
    <row r="3" spans="1:13" s="125" customFormat="1" ht="27" customHeight="1" x14ac:dyDescent="0.25">
      <c r="A3" s="160" t="s">
        <v>141</v>
      </c>
      <c r="B3" s="161" t="s">
        <v>83</v>
      </c>
      <c r="C3" s="471" t="s">
        <v>87</v>
      </c>
      <c r="D3" s="161" t="s">
        <v>83</v>
      </c>
      <c r="E3" s="471" t="s">
        <v>87</v>
      </c>
      <c r="F3" s="161" t="s">
        <v>83</v>
      </c>
      <c r="G3" s="471" t="s">
        <v>87</v>
      </c>
      <c r="H3" s="161" t="s">
        <v>83</v>
      </c>
      <c r="I3" s="471" t="s">
        <v>87</v>
      </c>
      <c r="J3" s="161" t="s">
        <v>83</v>
      </c>
      <c r="K3" s="471" t="s">
        <v>87</v>
      </c>
      <c r="L3" s="161" t="s">
        <v>83</v>
      </c>
      <c r="M3" s="471" t="s">
        <v>87</v>
      </c>
    </row>
    <row r="4" spans="1:13" s="125" customFormat="1" ht="18" customHeight="1" x14ac:dyDescent="0.25">
      <c r="A4" s="209" t="s">
        <v>5</v>
      </c>
      <c r="B4" s="149">
        <v>711</v>
      </c>
      <c r="C4" s="159">
        <v>314241.217</v>
      </c>
      <c r="D4" s="126">
        <v>892</v>
      </c>
      <c r="E4" s="159">
        <v>913562.25</v>
      </c>
      <c r="F4" s="149">
        <v>5489</v>
      </c>
      <c r="G4" s="163">
        <v>12252044.543</v>
      </c>
      <c r="H4" s="149">
        <v>494</v>
      </c>
      <c r="I4" s="159">
        <v>1124407.72</v>
      </c>
      <c r="J4" s="149">
        <v>1101</v>
      </c>
      <c r="K4" s="159">
        <v>475759.98</v>
      </c>
      <c r="L4" s="149">
        <v>8687</v>
      </c>
      <c r="M4" s="163">
        <v>15079015.869999999</v>
      </c>
    </row>
    <row r="5" spans="1:13" s="125" customFormat="1" ht="18" customHeight="1" x14ac:dyDescent="0.25">
      <c r="A5" s="209" t="s">
        <v>6</v>
      </c>
      <c r="B5" s="149">
        <f>SUM(B6:B7)</f>
        <v>20</v>
      </c>
      <c r="C5" s="149">
        <f t="shared" ref="C5:M5" si="0">SUM(C6:C7)</f>
        <v>22974.13</v>
      </c>
      <c r="D5" s="149">
        <f t="shared" si="0"/>
        <v>311</v>
      </c>
      <c r="E5" s="149">
        <f t="shared" si="0"/>
        <v>271047.95</v>
      </c>
      <c r="F5" s="149">
        <f t="shared" si="0"/>
        <v>259</v>
      </c>
      <c r="G5" s="149">
        <f t="shared" si="0"/>
        <v>629361.12</v>
      </c>
      <c r="H5" s="149">
        <f t="shared" si="0"/>
        <v>138</v>
      </c>
      <c r="I5" s="149">
        <f t="shared" si="0"/>
        <v>227248.68</v>
      </c>
      <c r="J5" s="149">
        <f t="shared" si="0"/>
        <v>114</v>
      </c>
      <c r="K5" s="149">
        <f t="shared" si="0"/>
        <v>24336.54</v>
      </c>
      <c r="L5" s="149">
        <f t="shared" si="0"/>
        <v>842</v>
      </c>
      <c r="M5" s="149">
        <f t="shared" si="0"/>
        <v>1174624.52</v>
      </c>
    </row>
    <row r="6" spans="1:13" s="125" customFormat="1" ht="18" customHeight="1" x14ac:dyDescent="0.25">
      <c r="A6" s="157" t="s">
        <v>70</v>
      </c>
      <c r="B6" s="149">
        <v>4</v>
      </c>
      <c r="C6" s="149">
        <v>21200</v>
      </c>
      <c r="D6" s="149">
        <v>148</v>
      </c>
      <c r="E6" s="149">
        <v>186753.51</v>
      </c>
      <c r="F6" s="149">
        <v>62</v>
      </c>
      <c r="G6" s="149">
        <v>71602.33</v>
      </c>
      <c r="H6" s="149">
        <v>136</v>
      </c>
      <c r="I6" s="149">
        <v>226341.18</v>
      </c>
      <c r="J6" s="149">
        <v>29</v>
      </c>
      <c r="K6" s="149">
        <v>2545</v>
      </c>
      <c r="L6" s="149">
        <v>379</v>
      </c>
      <c r="M6" s="149">
        <v>508442.02</v>
      </c>
    </row>
    <row r="7" spans="1:13" s="125" customFormat="1" ht="18" customHeight="1" x14ac:dyDescent="0.25">
      <c r="A7" s="210">
        <v>43586</v>
      </c>
      <c r="B7" s="149">
        <v>16</v>
      </c>
      <c r="C7" s="149">
        <v>1774.13</v>
      </c>
      <c r="D7" s="149">
        <v>163</v>
      </c>
      <c r="E7" s="149">
        <v>84294.44</v>
      </c>
      <c r="F7" s="149">
        <v>197</v>
      </c>
      <c r="G7" s="149">
        <v>557758.79</v>
      </c>
      <c r="H7" s="149">
        <v>2</v>
      </c>
      <c r="I7" s="149">
        <v>907.5</v>
      </c>
      <c r="J7" s="149">
        <v>85</v>
      </c>
      <c r="K7" s="149">
        <v>21791.54</v>
      </c>
      <c r="L7" s="149">
        <v>463</v>
      </c>
      <c r="M7" s="149">
        <v>666182.5</v>
      </c>
    </row>
    <row r="8" spans="1:13" s="125" customFormat="1" ht="19.5" customHeight="1" x14ac:dyDescent="0.2">
      <c r="A8" s="575" t="s">
        <v>846</v>
      </c>
      <c r="B8" s="575"/>
      <c r="C8" s="575"/>
      <c r="D8" s="575"/>
      <c r="E8" s="575"/>
      <c r="F8" s="575"/>
      <c r="G8" s="575"/>
      <c r="H8" s="575"/>
      <c r="I8" s="575"/>
      <c r="J8" s="575"/>
      <c r="K8" s="575"/>
      <c r="L8" s="575"/>
      <c r="M8" s="575"/>
    </row>
    <row r="9" spans="1:13" s="125" customFormat="1" ht="18" customHeight="1" x14ac:dyDescent="0.2">
      <c r="A9" s="575" t="s">
        <v>143</v>
      </c>
      <c r="B9" s="575"/>
      <c r="C9" s="575"/>
      <c r="D9" s="575"/>
      <c r="E9" s="575"/>
      <c r="F9" s="575"/>
      <c r="G9" s="575"/>
      <c r="H9" s="575"/>
      <c r="I9" s="575"/>
      <c r="J9" s="575"/>
      <c r="K9" s="575"/>
      <c r="L9" s="575"/>
      <c r="M9" s="575"/>
    </row>
    <row r="10" spans="1:13" s="125" customFormat="1" ht="23.85" customHeight="1" x14ac:dyDescent="0.2"/>
    <row r="12" spans="1:13" x14ac:dyDescent="0.25">
      <c r="A12" s="123" t="s">
        <v>1035</v>
      </c>
      <c r="B12" s="18">
        <v>0</v>
      </c>
      <c r="C12" s="18">
        <v>0</v>
      </c>
      <c r="D12" s="18">
        <v>2</v>
      </c>
      <c r="E12" s="18">
        <v>200</v>
      </c>
      <c r="F12" s="18">
        <v>4</v>
      </c>
      <c r="G12" s="18">
        <v>6645</v>
      </c>
      <c r="H12" s="18">
        <v>0</v>
      </c>
      <c r="I12" s="18">
        <v>0</v>
      </c>
      <c r="J12" s="18">
        <v>0</v>
      </c>
      <c r="K12" s="18">
        <v>0</v>
      </c>
      <c r="L12" s="18">
        <v>6</v>
      </c>
      <c r="M12" s="18">
        <v>6845</v>
      </c>
    </row>
    <row r="13" spans="1:13" x14ac:dyDescent="0.25">
      <c r="A13" s="123" t="s">
        <v>1036</v>
      </c>
      <c r="B13" s="18">
        <v>10</v>
      </c>
      <c r="C13" s="18">
        <v>158.44</v>
      </c>
      <c r="D13" s="18">
        <v>35</v>
      </c>
      <c r="E13" s="18">
        <v>82763.19</v>
      </c>
      <c r="F13" s="18">
        <v>60</v>
      </c>
      <c r="G13" s="18">
        <v>286979.96999999997</v>
      </c>
      <c r="H13" s="18">
        <v>1</v>
      </c>
      <c r="I13" s="18">
        <v>125</v>
      </c>
      <c r="J13" s="18">
        <v>32</v>
      </c>
      <c r="K13" s="18">
        <v>14558.94</v>
      </c>
      <c r="L13" s="18">
        <v>138</v>
      </c>
      <c r="M13" s="18">
        <v>384585.54</v>
      </c>
    </row>
    <row r="14" spans="1:13" x14ac:dyDescent="0.25">
      <c r="A14" s="123" t="s">
        <v>1037</v>
      </c>
      <c r="B14" s="18">
        <v>6</v>
      </c>
      <c r="C14" s="18">
        <v>1615.69</v>
      </c>
      <c r="D14" s="18">
        <v>11</v>
      </c>
      <c r="E14" s="18">
        <v>1256.25</v>
      </c>
      <c r="F14" s="18">
        <v>121</v>
      </c>
      <c r="G14" s="18">
        <v>254232.92</v>
      </c>
      <c r="H14" s="18">
        <v>1</v>
      </c>
      <c r="I14" s="18">
        <v>782.5</v>
      </c>
      <c r="J14" s="18">
        <v>14</v>
      </c>
      <c r="K14" s="18">
        <v>3205.6</v>
      </c>
      <c r="L14" s="18">
        <v>153</v>
      </c>
      <c r="M14" s="18">
        <v>261092.96</v>
      </c>
    </row>
    <row r="15" spans="1:13" x14ac:dyDescent="0.25">
      <c r="A15" s="123" t="s">
        <v>1038</v>
      </c>
      <c r="B15" s="123">
        <v>0</v>
      </c>
      <c r="C15" s="123">
        <v>0</v>
      </c>
      <c r="D15" s="123">
        <v>114</v>
      </c>
      <c r="E15" s="123" t="s">
        <v>1039</v>
      </c>
      <c r="F15" s="123">
        <v>3</v>
      </c>
      <c r="G15" s="123">
        <v>343.9</v>
      </c>
      <c r="H15" s="123">
        <v>0</v>
      </c>
      <c r="I15" s="123">
        <v>0</v>
      </c>
      <c r="J15" s="123">
        <v>29</v>
      </c>
      <c r="K15" s="123">
        <v>0</v>
      </c>
      <c r="L15" s="123">
        <v>146</v>
      </c>
      <c r="M15" s="123" t="s">
        <v>1040</v>
      </c>
    </row>
    <row r="16" spans="1:13" x14ac:dyDescent="0.25">
      <c r="A16" s="123" t="s">
        <v>1041</v>
      </c>
      <c r="B16" s="18" t="s">
        <v>1042</v>
      </c>
      <c r="C16" s="18" t="s">
        <v>1042</v>
      </c>
      <c r="D16" s="18">
        <v>1</v>
      </c>
      <c r="E16" s="18">
        <v>75</v>
      </c>
      <c r="F16" s="18">
        <v>9</v>
      </c>
      <c r="G16" s="18">
        <v>9557</v>
      </c>
      <c r="H16" s="18" t="s">
        <v>1042</v>
      </c>
      <c r="I16" s="18" t="s">
        <v>1042</v>
      </c>
      <c r="J16" s="18">
        <v>10</v>
      </c>
      <c r="K16" s="18">
        <v>4027</v>
      </c>
      <c r="L16" s="18">
        <v>20</v>
      </c>
      <c r="M16" s="18">
        <v>13659</v>
      </c>
    </row>
    <row r="18" spans="2:13" x14ac:dyDescent="0.25">
      <c r="B18" s="123">
        <f>SUM(B12:B17)</f>
        <v>16</v>
      </c>
      <c r="C18" s="123">
        <f t="shared" ref="C18:M18" si="1">SUM(C12:C17)</f>
        <v>1774.13</v>
      </c>
      <c r="D18" s="123">
        <f t="shared" si="1"/>
        <v>163</v>
      </c>
      <c r="E18" s="123">
        <f t="shared" si="1"/>
        <v>84294.44</v>
      </c>
      <c r="F18" s="123">
        <f t="shared" si="1"/>
        <v>197</v>
      </c>
      <c r="G18" s="123">
        <f t="shared" si="1"/>
        <v>557758.79</v>
      </c>
      <c r="H18" s="123">
        <f t="shared" si="1"/>
        <v>2</v>
      </c>
      <c r="I18" s="123">
        <f t="shared" si="1"/>
        <v>907.5</v>
      </c>
      <c r="J18" s="123">
        <f t="shared" si="1"/>
        <v>85</v>
      </c>
      <c r="K18" s="123">
        <f t="shared" si="1"/>
        <v>21791.54</v>
      </c>
      <c r="L18" s="123">
        <f t="shared" si="1"/>
        <v>463</v>
      </c>
      <c r="M18" s="123">
        <f t="shared" si="1"/>
        <v>666182.5</v>
      </c>
    </row>
  </sheetData>
  <mergeCells count="9">
    <mergeCell ref="A8:M8"/>
    <mergeCell ref="A9:M9"/>
    <mergeCell ref="A1:M1"/>
    <mergeCell ref="B2:C2"/>
    <mergeCell ref="D2:E2"/>
    <mergeCell ref="F2:G2"/>
    <mergeCell ref="H2:I2"/>
    <mergeCell ref="J2:K2"/>
    <mergeCell ref="L2:M2"/>
  </mergeCells>
  <pageMargins left="0.78431372549019618" right="0.78431372549019618" top="0.98039215686274517" bottom="0.98039215686274517" header="0.50980392156862753" footer="0.50980392156862753"/>
  <pageSetup paperSize="9" scale="68" orientation="landscape"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zoomScaleNormal="100" workbookViewId="0">
      <selection activeCell="E16" sqref="E16"/>
    </sheetView>
  </sheetViews>
  <sheetFormatPr defaultRowHeight="15" x14ac:dyDescent="0.25"/>
  <cols>
    <col min="1" max="1" width="21.28515625" style="123" customWidth="1"/>
    <col min="2" max="2" width="16.85546875" style="123" customWidth="1"/>
    <col min="3" max="3" width="17.85546875" style="123" customWidth="1"/>
    <col min="4" max="4" width="16.42578125" style="123" customWidth="1"/>
    <col min="5" max="5" width="24.140625" style="123" bestFit="1" customWidth="1"/>
    <col min="6" max="6" width="4.7109375" style="123" bestFit="1" customWidth="1"/>
    <col min="7" max="16384" width="9.140625" style="123"/>
  </cols>
  <sheetData>
    <row r="1" spans="1:5" ht="16.5" customHeight="1" x14ac:dyDescent="0.25">
      <c r="A1" s="625" t="str">
        <f>'Data Summary'!$A$19</f>
        <v>Table 17:  Distribution of Turnover on Cash Segments of Exchanges</v>
      </c>
      <c r="B1" s="625"/>
      <c r="C1" s="625"/>
      <c r="D1" s="625"/>
      <c r="E1" s="625"/>
    </row>
    <row r="2" spans="1:5" ht="16.5" customHeight="1" x14ac:dyDescent="0.25">
      <c r="A2" s="632" t="s">
        <v>977</v>
      </c>
      <c r="B2" s="633"/>
      <c r="C2" s="633"/>
      <c r="D2" s="633"/>
      <c r="E2" s="235"/>
    </row>
    <row r="3" spans="1:5" s="125" customFormat="1" ht="18" customHeight="1" x14ac:dyDescent="0.2">
      <c r="A3" s="236" t="s">
        <v>149</v>
      </c>
      <c r="B3" s="236" t="s">
        <v>5</v>
      </c>
      <c r="C3" s="236" t="s">
        <v>6</v>
      </c>
      <c r="D3" s="240">
        <v>43586</v>
      </c>
    </row>
    <row r="4" spans="1:5" s="125" customFormat="1" x14ac:dyDescent="0.25">
      <c r="A4" s="237" t="s">
        <v>129</v>
      </c>
      <c r="B4" s="238">
        <v>775590.08</v>
      </c>
      <c r="C4" s="239">
        <f>'18'!H5</f>
        <v>114039.43</v>
      </c>
      <c r="D4" s="239">
        <v>58171.62</v>
      </c>
    </row>
    <row r="5" spans="1:5" s="125" customFormat="1" x14ac:dyDescent="0.25">
      <c r="A5" s="237" t="s">
        <v>131</v>
      </c>
      <c r="B5" s="239">
        <v>30.293250435000001</v>
      </c>
      <c r="C5" s="239">
        <f>'20'!H5</f>
        <v>14.614637419999999</v>
      </c>
      <c r="D5" s="239">
        <v>7.4556996</v>
      </c>
    </row>
    <row r="6" spans="1:5" s="125" customFormat="1" x14ac:dyDescent="0.25">
      <c r="A6" s="237" t="s">
        <v>130</v>
      </c>
      <c r="B6" s="238">
        <v>7949004.3090000004</v>
      </c>
      <c r="C6" s="238">
        <f>'19'!H5</f>
        <v>1428298.9516038862</v>
      </c>
      <c r="D6" s="238">
        <v>788183.56416197622</v>
      </c>
    </row>
    <row r="7" spans="1:5" s="125" customFormat="1" ht="18.75" customHeight="1" x14ac:dyDescent="0.2">
      <c r="A7" s="575" t="str">
        <f>'12'!$A$8</f>
        <v>$ indicatesas on May 31, 2019</v>
      </c>
      <c r="B7" s="575"/>
      <c r="C7" s="575"/>
      <c r="D7" s="575"/>
    </row>
    <row r="8" spans="1:5" s="125" customFormat="1" ht="18" customHeight="1" x14ac:dyDescent="0.2">
      <c r="A8" s="575" t="s">
        <v>123</v>
      </c>
      <c r="B8" s="575"/>
      <c r="C8" s="575"/>
      <c r="D8" s="575"/>
    </row>
    <row r="9" spans="1:5" s="125" customFormat="1" ht="28.35" customHeight="1" x14ac:dyDescent="0.2"/>
  </sheetData>
  <mergeCells count="4">
    <mergeCell ref="A1:E1"/>
    <mergeCell ref="A7:D7"/>
    <mergeCell ref="A8:D8"/>
    <mergeCell ref="A2:D2"/>
  </mergeCell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zoomScaleNormal="100" workbookViewId="0">
      <selection activeCell="B7" sqref="B7"/>
    </sheetView>
  </sheetViews>
  <sheetFormatPr defaultRowHeight="15" x14ac:dyDescent="0.25"/>
  <cols>
    <col min="1" max="1" width="14.7109375" style="123" bestFit="1" customWidth="1"/>
    <col min="2" max="2" width="11" style="123" customWidth="1"/>
    <col min="3" max="3" width="12.7109375" style="123" customWidth="1"/>
    <col min="4" max="4" width="10.7109375" style="123" customWidth="1"/>
    <col min="5" max="5" width="9.85546875" style="123" customWidth="1"/>
    <col min="6" max="6" width="12" style="123" customWidth="1"/>
    <col min="7" max="7" width="11.7109375" style="123" customWidth="1"/>
    <col min="8" max="8" width="10.7109375" style="123" customWidth="1"/>
    <col min="9" max="9" width="9.5703125" style="123" customWidth="1"/>
    <col min="10" max="10" width="11.7109375" style="123" customWidth="1"/>
    <col min="11" max="11" width="12.42578125" style="123" customWidth="1"/>
    <col min="12" max="12" width="10.28515625" style="123" customWidth="1"/>
    <col min="13" max="13" width="12.42578125" style="123" customWidth="1"/>
    <col min="14" max="14" width="8.5703125" style="123" customWidth="1"/>
    <col min="15" max="15" width="8.42578125" style="123" customWidth="1"/>
    <col min="16" max="16" width="9.140625" style="123" customWidth="1"/>
    <col min="17" max="17" width="0.42578125" style="123" bestFit="1" customWidth="1"/>
    <col min="18" max="18" width="4.7109375" style="123" bestFit="1" customWidth="1"/>
    <col min="19" max="16384" width="9.140625" style="123"/>
  </cols>
  <sheetData>
    <row r="1" spans="1:18" ht="18.75" customHeight="1" x14ac:dyDescent="0.25">
      <c r="A1" s="612" t="str">
        <f>'Data Summary'!$A$20</f>
        <v>Table 18:  Trends in Cash Segment of BSE</v>
      </c>
      <c r="B1" s="612"/>
      <c r="C1" s="612"/>
      <c r="D1" s="612"/>
      <c r="E1" s="612"/>
      <c r="F1" s="612"/>
      <c r="G1" s="612"/>
      <c r="H1" s="612"/>
      <c r="I1" s="612"/>
      <c r="J1" s="612"/>
      <c r="K1" s="612"/>
      <c r="L1" s="612"/>
      <c r="M1" s="612"/>
      <c r="N1" s="612"/>
      <c r="O1" s="612"/>
      <c r="P1" s="612"/>
      <c r="Q1" s="612"/>
    </row>
    <row r="2" spans="1:18" s="122" customFormat="1" ht="18" customHeight="1" x14ac:dyDescent="0.2">
      <c r="A2" s="591" t="s">
        <v>61</v>
      </c>
      <c r="B2" s="591" t="s">
        <v>150</v>
      </c>
      <c r="C2" s="591" t="s">
        <v>151</v>
      </c>
      <c r="D2" s="591" t="s">
        <v>152</v>
      </c>
      <c r="E2" s="591" t="s">
        <v>153</v>
      </c>
      <c r="F2" s="591" t="s">
        <v>154</v>
      </c>
      <c r="G2" s="591" t="s">
        <v>155</v>
      </c>
      <c r="H2" s="593" t="s">
        <v>156</v>
      </c>
      <c r="I2" s="593" t="s">
        <v>157</v>
      </c>
      <c r="J2" s="593" t="s">
        <v>158</v>
      </c>
      <c r="K2" s="591" t="s">
        <v>159</v>
      </c>
      <c r="L2" s="593" t="s">
        <v>160</v>
      </c>
      <c r="M2" s="593" t="s">
        <v>161</v>
      </c>
      <c r="N2" s="621" t="s">
        <v>162</v>
      </c>
      <c r="O2" s="634"/>
      <c r="P2" s="622"/>
    </row>
    <row r="3" spans="1:18" s="122" customFormat="1" ht="43.5" customHeight="1" x14ac:dyDescent="0.2">
      <c r="A3" s="592"/>
      <c r="B3" s="592"/>
      <c r="C3" s="592"/>
      <c r="D3" s="592"/>
      <c r="E3" s="592"/>
      <c r="F3" s="592"/>
      <c r="G3" s="592"/>
      <c r="H3" s="592"/>
      <c r="I3" s="592"/>
      <c r="J3" s="592"/>
      <c r="K3" s="592"/>
      <c r="L3" s="592"/>
      <c r="M3" s="592"/>
      <c r="N3" s="124" t="s">
        <v>163</v>
      </c>
      <c r="O3" s="124" t="s">
        <v>164</v>
      </c>
      <c r="P3" s="124" t="s">
        <v>165</v>
      </c>
    </row>
    <row r="4" spans="1:18" s="122" customFormat="1" x14ac:dyDescent="0.25">
      <c r="A4" s="209" t="s">
        <v>5</v>
      </c>
      <c r="B4" s="149">
        <v>5262</v>
      </c>
      <c r="C4" s="149">
        <v>36</v>
      </c>
      <c r="D4" s="149">
        <v>4086</v>
      </c>
      <c r="E4" s="126">
        <v>248</v>
      </c>
      <c r="F4" s="149">
        <v>3145.25</v>
      </c>
      <c r="G4" s="159">
        <v>518103.44</v>
      </c>
      <c r="H4" s="159">
        <v>775590.08</v>
      </c>
      <c r="I4" s="149">
        <v>3127.3793548389999</v>
      </c>
      <c r="J4" s="149">
        <v>24659.091646133002</v>
      </c>
      <c r="K4" s="159">
        <v>518103.44</v>
      </c>
      <c r="L4" s="159">
        <v>775589.97</v>
      </c>
      <c r="M4" s="163">
        <v>15108711.01</v>
      </c>
      <c r="N4" s="149">
        <v>38989.65</v>
      </c>
      <c r="O4" s="149">
        <v>32972.559999999998</v>
      </c>
      <c r="P4" s="149">
        <v>38672.910000000003</v>
      </c>
    </row>
    <row r="5" spans="1:18" s="241" customFormat="1" x14ac:dyDescent="0.25">
      <c r="A5" s="284" t="s">
        <v>6</v>
      </c>
      <c r="B5" s="285">
        <f>B7</f>
        <v>5292</v>
      </c>
      <c r="C5" s="285">
        <f>C7</f>
        <v>36</v>
      </c>
      <c r="D5" s="285">
        <v>3746</v>
      </c>
      <c r="E5" s="286">
        <f>SUM(E6:E17)</f>
        <v>41</v>
      </c>
      <c r="F5" s="286">
        <f>SUM(F6:F17)</f>
        <v>537.25</v>
      </c>
      <c r="G5" s="286">
        <f>SUM(G6:G17)</f>
        <v>119282.29000000001</v>
      </c>
      <c r="H5" s="286">
        <f>SUM(H6:H17)</f>
        <v>114039.43</v>
      </c>
      <c r="I5" s="286">
        <f>H5/E5</f>
        <v>2781.4495121951218</v>
      </c>
      <c r="J5" s="286">
        <f>100*H5/F5</f>
        <v>21226.510935318754</v>
      </c>
      <c r="K5" s="286">
        <f>SUM(K6:K17)</f>
        <v>119282.28999999998</v>
      </c>
      <c r="L5" s="286">
        <f>SUM(L6:L17)</f>
        <v>114039.42</v>
      </c>
      <c r="M5" s="286">
        <f>M7</f>
        <v>15438014.550000001</v>
      </c>
      <c r="N5" s="287">
        <f>MAX(N6:N17)</f>
        <v>40124.959999999999</v>
      </c>
      <c r="O5" s="287">
        <f>MIN(O6:O17)</f>
        <v>36956.1</v>
      </c>
      <c r="P5" s="287">
        <f>P7</f>
        <v>39714.199999999997</v>
      </c>
      <c r="Q5" s="243"/>
      <c r="R5" s="243"/>
    </row>
    <row r="6" spans="1:18" s="242" customFormat="1" x14ac:dyDescent="0.25">
      <c r="A6" s="288">
        <v>43559</v>
      </c>
      <c r="B6" s="289">
        <v>5282</v>
      </c>
      <c r="C6" s="290">
        <v>36</v>
      </c>
      <c r="D6" s="291">
        <v>3580</v>
      </c>
      <c r="E6" s="292">
        <v>19</v>
      </c>
      <c r="F6" s="293">
        <v>254.59999999999997</v>
      </c>
      <c r="G6" s="289">
        <v>76938.820000000007</v>
      </c>
      <c r="H6" s="289">
        <v>55867.81</v>
      </c>
      <c r="I6" s="292">
        <f>H6/E6</f>
        <v>2940.411052631579</v>
      </c>
      <c r="J6" s="292">
        <f>100*H6/F6</f>
        <v>21943.366064414771</v>
      </c>
      <c r="K6" s="289">
        <v>76938.819999999978</v>
      </c>
      <c r="L6" s="289">
        <v>55867.81</v>
      </c>
      <c r="M6" s="292">
        <v>15254028.060000001</v>
      </c>
      <c r="N6" s="294">
        <v>39487.449999999997</v>
      </c>
      <c r="O6" s="294">
        <v>38460.25</v>
      </c>
      <c r="P6" s="294">
        <v>39031.550000000003</v>
      </c>
    </row>
    <row r="7" spans="1:18" s="242" customFormat="1" x14ac:dyDescent="0.25">
      <c r="A7" s="288">
        <v>43589</v>
      </c>
      <c r="B7" s="289">
        <v>5292</v>
      </c>
      <c r="C7" s="290">
        <v>36</v>
      </c>
      <c r="D7" s="289">
        <v>3587</v>
      </c>
      <c r="E7" s="292">
        <v>22</v>
      </c>
      <c r="F7" s="293">
        <v>282.64999999999998</v>
      </c>
      <c r="G7" s="295">
        <v>42343.47</v>
      </c>
      <c r="H7" s="289">
        <v>58171.62</v>
      </c>
      <c r="I7" s="292">
        <f>H7/E7</f>
        <v>2644.1645454545455</v>
      </c>
      <c r="J7" s="292">
        <f>100*H7/F7</f>
        <v>20580.796037502212</v>
      </c>
      <c r="K7" s="295">
        <v>42343.47</v>
      </c>
      <c r="L7" s="289">
        <v>58171.61</v>
      </c>
      <c r="M7" s="292">
        <v>15438014.550000001</v>
      </c>
      <c r="N7" s="296">
        <v>40124.959999999999</v>
      </c>
      <c r="O7" s="296">
        <v>36956.1</v>
      </c>
      <c r="P7" s="296">
        <v>39714.199999999997</v>
      </c>
    </row>
    <row r="8" spans="1:18" s="125" customFormat="1" x14ac:dyDescent="0.2">
      <c r="A8" s="575" t="s">
        <v>846</v>
      </c>
      <c r="B8" s="575"/>
      <c r="C8" s="575"/>
      <c r="D8" s="575"/>
      <c r="E8" s="575"/>
      <c r="F8" s="575"/>
      <c r="G8" s="575"/>
      <c r="H8" s="575"/>
    </row>
    <row r="9" spans="1:18" s="125" customFormat="1" ht="18" customHeight="1" x14ac:dyDescent="0.2">
      <c r="A9" s="575" t="s">
        <v>166</v>
      </c>
      <c r="B9" s="575"/>
      <c r="C9" s="575"/>
      <c r="D9" s="575"/>
      <c r="E9" s="575"/>
      <c r="F9" s="575"/>
      <c r="G9" s="575"/>
      <c r="H9" s="575"/>
    </row>
    <row r="10" spans="1:18" s="125" customFormat="1" ht="24.6" customHeight="1" x14ac:dyDescent="0.2"/>
  </sheetData>
  <mergeCells count="17">
    <mergeCell ref="N2:P2"/>
    <mergeCell ref="A8:H8"/>
    <mergeCell ref="A1:Q1"/>
    <mergeCell ref="A2:A3"/>
    <mergeCell ref="B2:B3"/>
    <mergeCell ref="C2:C3"/>
    <mergeCell ref="D2:D3"/>
    <mergeCell ref="E2:E3"/>
    <mergeCell ref="F2:F3"/>
    <mergeCell ref="G2:G3"/>
    <mergeCell ref="H2:H3"/>
    <mergeCell ref="I2:I3"/>
    <mergeCell ref="A9:H9"/>
    <mergeCell ref="J2:J3"/>
    <mergeCell ref="K2:K3"/>
    <mergeCell ref="L2:L3"/>
    <mergeCell ref="M2:M3"/>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zoomScaleNormal="100" workbookViewId="0">
      <selection activeCell="B12" sqref="B12"/>
    </sheetView>
  </sheetViews>
  <sheetFormatPr defaultRowHeight="12.75" x14ac:dyDescent="0.2"/>
  <cols>
    <col min="1" max="1" width="46.42578125" style="117" bestFit="1" customWidth="1"/>
    <col min="2" max="3" width="14.7109375" style="117" bestFit="1" customWidth="1"/>
    <col min="4" max="4" width="6.85546875" style="117" bestFit="1" customWidth="1"/>
    <col min="5" max="5" width="30.7109375" style="117" bestFit="1" customWidth="1"/>
    <col min="6" max="6" width="4.7109375" style="117" bestFit="1" customWidth="1"/>
    <col min="7" max="16384" width="9.140625" style="117"/>
  </cols>
  <sheetData>
    <row r="1" spans="1:4" ht="15" x14ac:dyDescent="0.25">
      <c r="A1" s="574" t="str">
        <f>'Data Summary'!$A$3</f>
        <v>Table 1:  SEBI Registered Market Intermediaries/Institutions</v>
      </c>
      <c r="B1" s="574"/>
      <c r="C1" s="574"/>
      <c r="D1" s="574"/>
    </row>
    <row r="2" spans="1:4" s="118" customFormat="1" ht="15" x14ac:dyDescent="0.25">
      <c r="A2" s="152" t="s">
        <v>4</v>
      </c>
      <c r="B2" s="161" t="s">
        <v>5</v>
      </c>
      <c r="C2" s="161" t="s">
        <v>6</v>
      </c>
      <c r="D2" s="125"/>
    </row>
    <row r="3" spans="1:4" s="118" customFormat="1" ht="15" x14ac:dyDescent="0.25">
      <c r="A3" s="148" t="s">
        <v>7</v>
      </c>
      <c r="B3" s="149">
        <v>5</v>
      </c>
      <c r="C3" s="149">
        <v>5</v>
      </c>
      <c r="D3" s="125"/>
    </row>
    <row r="4" spans="1:4" s="118" customFormat="1" ht="15" x14ac:dyDescent="0.25">
      <c r="A4" s="148" t="s">
        <v>8</v>
      </c>
      <c r="B4" s="149">
        <v>3</v>
      </c>
      <c r="C4" s="149">
        <v>3</v>
      </c>
      <c r="D4" s="125"/>
    </row>
    <row r="5" spans="1:4" s="118" customFormat="1" ht="15" x14ac:dyDescent="0.25">
      <c r="A5" s="148" t="s">
        <v>9</v>
      </c>
      <c r="B5" s="149">
        <v>3</v>
      </c>
      <c r="C5" s="149">
        <v>3</v>
      </c>
      <c r="D5" s="125"/>
    </row>
    <row r="6" spans="1:4" s="118" customFormat="1" ht="15" x14ac:dyDescent="0.25">
      <c r="A6" s="148" t="s">
        <v>10</v>
      </c>
      <c r="B6" s="149">
        <v>5</v>
      </c>
      <c r="C6" s="149">
        <v>5</v>
      </c>
      <c r="D6" s="125"/>
    </row>
    <row r="7" spans="1:4" s="118" customFormat="1" ht="15" x14ac:dyDescent="0.25">
      <c r="A7" s="148" t="s">
        <v>11</v>
      </c>
      <c r="B7" s="149">
        <v>2315</v>
      </c>
      <c r="C7" s="149">
        <v>2253</v>
      </c>
      <c r="D7" s="125"/>
    </row>
    <row r="8" spans="1:4" s="118" customFormat="1" ht="15" x14ac:dyDescent="0.25">
      <c r="A8" s="148" t="s">
        <v>12</v>
      </c>
      <c r="B8" s="149">
        <v>2435</v>
      </c>
      <c r="C8" s="149">
        <v>2429</v>
      </c>
      <c r="D8" s="125"/>
    </row>
    <row r="9" spans="1:4" s="118" customFormat="1" ht="15" x14ac:dyDescent="0.25">
      <c r="A9" s="148" t="s">
        <v>13</v>
      </c>
      <c r="B9" s="149">
        <v>2110</v>
      </c>
      <c r="C9" s="149">
        <v>2106</v>
      </c>
      <c r="D9" s="125"/>
    </row>
    <row r="10" spans="1:4" s="118" customFormat="1" ht="15" x14ac:dyDescent="0.25">
      <c r="A10" s="148" t="s">
        <v>14</v>
      </c>
      <c r="B10" s="149">
        <v>173</v>
      </c>
      <c r="C10" s="149">
        <v>174</v>
      </c>
      <c r="D10" s="125"/>
    </row>
    <row r="11" spans="1:4" s="118" customFormat="1" ht="15" x14ac:dyDescent="0.25">
      <c r="A11" s="148" t="s">
        <v>15</v>
      </c>
      <c r="B11" s="149">
        <v>1708</v>
      </c>
      <c r="C11" s="149">
        <v>1717</v>
      </c>
      <c r="D11" s="125"/>
    </row>
    <row r="12" spans="1:4" s="118" customFormat="1" ht="15" x14ac:dyDescent="0.25">
      <c r="A12" s="148" t="s">
        <v>16</v>
      </c>
      <c r="B12" s="149">
        <v>2004</v>
      </c>
      <c r="C12" s="149">
        <v>1954</v>
      </c>
      <c r="D12" s="125"/>
    </row>
    <row r="13" spans="1:4" s="118" customFormat="1" ht="15" x14ac:dyDescent="0.25">
      <c r="A13" s="148" t="s">
        <v>17</v>
      </c>
      <c r="B13" s="149">
        <v>9390</v>
      </c>
      <c r="C13" s="126">
        <v>9412</v>
      </c>
      <c r="D13" s="125"/>
    </row>
    <row r="14" spans="1:4" s="118" customFormat="1" ht="15" x14ac:dyDescent="0.25">
      <c r="A14" s="148" t="s">
        <v>18</v>
      </c>
      <c r="B14" s="149">
        <v>20</v>
      </c>
      <c r="C14" s="149">
        <v>20</v>
      </c>
      <c r="D14" s="125"/>
    </row>
    <row r="15" spans="1:4" s="118" customFormat="1" ht="15" x14ac:dyDescent="0.25">
      <c r="A15" s="148" t="s">
        <v>19</v>
      </c>
      <c r="B15" s="149">
        <v>2</v>
      </c>
      <c r="C15" s="149">
        <v>2</v>
      </c>
      <c r="D15" s="125"/>
    </row>
    <row r="16" spans="1:4" s="118" customFormat="1" ht="15" x14ac:dyDescent="0.25">
      <c r="A16" s="148" t="s">
        <v>20</v>
      </c>
      <c r="B16" s="149">
        <v>277</v>
      </c>
      <c r="C16" s="149">
        <v>278</v>
      </c>
      <c r="D16" s="125"/>
    </row>
    <row r="17" spans="1:4" s="118" customFormat="1" ht="15" x14ac:dyDescent="0.25">
      <c r="A17" s="148" t="s">
        <v>21</v>
      </c>
      <c r="B17" s="149">
        <v>598</v>
      </c>
      <c r="C17" s="149">
        <v>599</v>
      </c>
      <c r="D17" s="125"/>
    </row>
    <row r="18" spans="1:4" s="118" customFormat="1" ht="15" x14ac:dyDescent="0.25">
      <c r="A18" s="148" t="s">
        <v>22</v>
      </c>
      <c r="B18" s="149">
        <v>209</v>
      </c>
      <c r="C18" s="149">
        <v>211</v>
      </c>
      <c r="D18" s="125"/>
    </row>
    <row r="19" spans="1:4" s="118" customFormat="1" ht="15" x14ac:dyDescent="0.25">
      <c r="A19" s="148" t="s">
        <v>23</v>
      </c>
      <c r="B19" s="149">
        <v>66</v>
      </c>
      <c r="C19" s="149">
        <v>65</v>
      </c>
      <c r="D19" s="125"/>
    </row>
    <row r="20" spans="1:4" s="118" customFormat="1" ht="15" x14ac:dyDescent="0.25">
      <c r="A20" s="148" t="s">
        <v>24</v>
      </c>
      <c r="B20" s="149">
        <v>2</v>
      </c>
      <c r="C20" s="149">
        <v>2</v>
      </c>
      <c r="D20" s="125"/>
    </row>
    <row r="21" spans="1:4" s="118" customFormat="1" ht="15" x14ac:dyDescent="0.25">
      <c r="A21" s="148" t="s">
        <v>25</v>
      </c>
      <c r="B21" s="149">
        <v>32</v>
      </c>
      <c r="C21" s="149">
        <v>32</v>
      </c>
      <c r="D21" s="125"/>
    </row>
    <row r="22" spans="1:4" s="118" customFormat="1" ht="15" x14ac:dyDescent="0.25">
      <c r="A22" s="148" t="s">
        <v>26</v>
      </c>
      <c r="B22" s="149">
        <v>7</v>
      </c>
      <c r="C22" s="149">
        <v>7</v>
      </c>
      <c r="D22" s="125"/>
    </row>
    <row r="23" spans="1:4" s="118" customFormat="1" ht="15" x14ac:dyDescent="0.25">
      <c r="A23" s="148" t="s">
        <v>27</v>
      </c>
      <c r="B23" s="149">
        <v>5</v>
      </c>
      <c r="C23" s="149">
        <v>5</v>
      </c>
      <c r="D23" s="125"/>
    </row>
    <row r="24" spans="1:4" s="118" customFormat="1" ht="15" x14ac:dyDescent="0.25">
      <c r="A24" s="148" t="s">
        <v>28</v>
      </c>
      <c r="B24" s="149">
        <v>77</v>
      </c>
      <c r="C24" s="149">
        <v>78</v>
      </c>
      <c r="D24" s="125"/>
    </row>
    <row r="25" spans="1:4" s="118" customFormat="1" ht="15" x14ac:dyDescent="0.25">
      <c r="A25" s="148" t="s">
        <v>29</v>
      </c>
      <c r="B25" s="149">
        <v>190</v>
      </c>
      <c r="C25" s="149">
        <v>192</v>
      </c>
      <c r="D25" s="125"/>
    </row>
    <row r="26" spans="1:4" s="118" customFormat="1" ht="15" x14ac:dyDescent="0.25">
      <c r="A26" s="148" t="s">
        <v>30</v>
      </c>
      <c r="B26" s="149">
        <v>248</v>
      </c>
      <c r="C26" s="149">
        <v>252</v>
      </c>
      <c r="D26" s="125"/>
    </row>
    <row r="27" spans="1:4" s="118" customFormat="1" ht="15" x14ac:dyDescent="0.25">
      <c r="A27" s="148" t="s">
        <v>31</v>
      </c>
      <c r="B27" s="149">
        <v>532</v>
      </c>
      <c r="C27" s="149">
        <v>585</v>
      </c>
      <c r="D27" s="125"/>
    </row>
    <row r="28" spans="1:4" s="118" customFormat="1" ht="15" x14ac:dyDescent="0.25">
      <c r="A28" s="148" t="s">
        <v>32</v>
      </c>
      <c r="B28" s="149">
        <v>315</v>
      </c>
      <c r="C28" s="149">
        <v>317</v>
      </c>
      <c r="D28" s="125"/>
    </row>
    <row r="29" spans="1:4" s="118" customFormat="1" ht="15" x14ac:dyDescent="0.25">
      <c r="A29" s="148" t="s">
        <v>33</v>
      </c>
      <c r="B29" s="149">
        <v>45</v>
      </c>
      <c r="C29" s="149">
        <v>43</v>
      </c>
      <c r="D29" s="125"/>
    </row>
    <row r="30" spans="1:4" s="118" customFormat="1" ht="15" x14ac:dyDescent="0.25">
      <c r="A30" s="148" t="s">
        <v>34</v>
      </c>
      <c r="B30" s="149">
        <v>1131</v>
      </c>
      <c r="C30" s="149">
        <v>1203</v>
      </c>
      <c r="D30" s="125"/>
    </row>
    <row r="31" spans="1:4" s="118" customFormat="1" ht="15" x14ac:dyDescent="0.25">
      <c r="A31" s="148" t="s">
        <v>35</v>
      </c>
      <c r="B31" s="149">
        <v>620</v>
      </c>
      <c r="C31" s="149">
        <v>647</v>
      </c>
      <c r="D31" s="125"/>
    </row>
    <row r="32" spans="1:4" s="118" customFormat="1" ht="15" x14ac:dyDescent="0.25">
      <c r="A32" s="148" t="s">
        <v>36</v>
      </c>
      <c r="B32" s="149">
        <v>11</v>
      </c>
      <c r="C32" s="149">
        <v>11</v>
      </c>
      <c r="D32" s="125"/>
    </row>
    <row r="33" spans="1:5" s="118" customFormat="1" ht="15" x14ac:dyDescent="0.25">
      <c r="A33" s="148" t="s">
        <v>592</v>
      </c>
      <c r="B33" s="149">
        <v>2</v>
      </c>
      <c r="C33" s="149">
        <v>2</v>
      </c>
      <c r="D33" s="125"/>
    </row>
    <row r="34" spans="1:5" s="118" customFormat="1" ht="15" x14ac:dyDescent="0.25">
      <c r="A34" s="148" t="s">
        <v>37</v>
      </c>
      <c r="B34" s="149">
        <v>1</v>
      </c>
      <c r="C34" s="149">
        <v>1</v>
      </c>
      <c r="D34" s="125"/>
    </row>
    <row r="35" spans="1:5" s="118" customFormat="1" ht="15" x14ac:dyDescent="0.25">
      <c r="A35" s="148" t="s">
        <v>38</v>
      </c>
      <c r="B35" s="149">
        <v>2</v>
      </c>
      <c r="C35" s="149">
        <v>2</v>
      </c>
      <c r="D35" s="125"/>
    </row>
    <row r="36" spans="1:5" s="118" customFormat="1" ht="15" x14ac:dyDescent="0.25">
      <c r="A36" s="148" t="s">
        <v>39</v>
      </c>
      <c r="B36" s="149">
        <v>1</v>
      </c>
      <c r="C36" s="149">
        <v>1</v>
      </c>
      <c r="D36" s="125"/>
    </row>
    <row r="37" spans="1:5" s="118" customFormat="1" ht="15" x14ac:dyDescent="0.25">
      <c r="A37" s="148" t="s">
        <v>40</v>
      </c>
      <c r="B37" s="149">
        <v>2</v>
      </c>
      <c r="C37" s="149">
        <v>2</v>
      </c>
      <c r="D37" s="125"/>
    </row>
    <row r="38" spans="1:5" s="118" customFormat="1" ht="12" x14ac:dyDescent="0.2">
      <c r="A38" s="575" t="s">
        <v>41</v>
      </c>
      <c r="B38" s="575"/>
      <c r="C38" s="575"/>
      <c r="D38" s="575"/>
      <c r="E38" s="575"/>
    </row>
    <row r="39" spans="1:5" s="118" customFormat="1" ht="12" x14ac:dyDescent="0.2">
      <c r="A39" s="147" t="s">
        <v>847</v>
      </c>
      <c r="B39" s="147"/>
      <c r="C39" s="147"/>
      <c r="D39" s="147"/>
      <c r="E39" s="147"/>
    </row>
    <row r="40" spans="1:5" s="118" customFormat="1" ht="12" x14ac:dyDescent="0.2">
      <c r="A40" s="575" t="s">
        <v>42</v>
      </c>
      <c r="B40" s="575"/>
      <c r="C40" s="575"/>
      <c r="D40" s="575"/>
      <c r="E40" s="575"/>
    </row>
    <row r="41" spans="1:5" s="118" customFormat="1" ht="8.25" x14ac:dyDescent="0.2"/>
  </sheetData>
  <mergeCells count="3">
    <mergeCell ref="A1:D1"/>
    <mergeCell ref="A38:E38"/>
    <mergeCell ref="A40:E40"/>
  </mergeCells>
  <pageMargins left="0.78431372549019618" right="0.78431372549019618" top="0.98039215686274517" bottom="0.98039215686274517" header="0.50980392156862753" footer="0.50980392156862753"/>
  <pageSetup paperSize="9"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zoomScaleNormal="100" workbookViewId="0">
      <selection activeCell="A9" sqref="A9:H9"/>
    </sheetView>
  </sheetViews>
  <sheetFormatPr defaultRowHeight="15" x14ac:dyDescent="0.25"/>
  <cols>
    <col min="1" max="1" width="9.42578125" style="123" customWidth="1"/>
    <col min="2" max="2" width="9.5703125" style="123" customWidth="1"/>
    <col min="3" max="3" width="10.85546875" style="123" customWidth="1"/>
    <col min="4" max="4" width="10.140625" style="123" customWidth="1"/>
    <col min="5" max="5" width="8.85546875" style="123" customWidth="1"/>
    <col min="6" max="6" width="8.28515625" style="123" customWidth="1"/>
    <col min="7" max="7" width="9.7109375" style="123" customWidth="1"/>
    <col min="8" max="8" width="9.5703125" style="123" customWidth="1"/>
    <col min="9" max="9" width="9.7109375" style="123" customWidth="1"/>
    <col min="10" max="10" width="10.28515625" style="123" customWidth="1"/>
    <col min="11" max="11" width="11.42578125" style="123" customWidth="1"/>
    <col min="12" max="12" width="9.7109375" style="123" customWidth="1"/>
    <col min="13" max="13" width="12.42578125" style="123" customWidth="1"/>
    <col min="14" max="14" width="8" style="123" customWidth="1"/>
    <col min="15" max="15" width="7.85546875" style="123" customWidth="1"/>
    <col min="16" max="16" width="8.140625" style="123" customWidth="1"/>
    <col min="17" max="17" width="4.7109375" style="123" bestFit="1" customWidth="1"/>
    <col min="18" max="16384" width="9.140625" style="123"/>
  </cols>
  <sheetData>
    <row r="1" spans="1:18" ht="14.25" customHeight="1" x14ac:dyDescent="0.25">
      <c r="A1" s="612" t="str">
        <f>'Data Summary'!$A$21</f>
        <v>Table 19:  Trends in Cash Segment of NSE</v>
      </c>
      <c r="B1" s="612"/>
      <c r="C1" s="612"/>
      <c r="D1" s="612"/>
      <c r="E1" s="612"/>
      <c r="F1" s="612"/>
      <c r="G1" s="612"/>
      <c r="H1" s="612"/>
      <c r="I1" s="612"/>
      <c r="J1" s="612"/>
      <c r="K1" s="612"/>
      <c r="L1" s="612"/>
      <c r="M1" s="612"/>
      <c r="N1" s="612"/>
      <c r="O1" s="612"/>
      <c r="P1" s="612"/>
    </row>
    <row r="2" spans="1:18" s="122" customFormat="1" ht="18.75" customHeight="1" x14ac:dyDescent="0.2">
      <c r="A2" s="591" t="s">
        <v>61</v>
      </c>
      <c r="B2" s="591" t="s">
        <v>150</v>
      </c>
      <c r="C2" s="591" t="s">
        <v>151</v>
      </c>
      <c r="D2" s="591" t="s">
        <v>152</v>
      </c>
      <c r="E2" s="591" t="s">
        <v>153</v>
      </c>
      <c r="F2" s="591" t="s">
        <v>154</v>
      </c>
      <c r="G2" s="591" t="s">
        <v>155</v>
      </c>
      <c r="H2" s="593" t="s">
        <v>156</v>
      </c>
      <c r="I2" s="593" t="s">
        <v>157</v>
      </c>
      <c r="J2" s="593" t="s">
        <v>158</v>
      </c>
      <c r="K2" s="591" t="s">
        <v>159</v>
      </c>
      <c r="L2" s="593" t="s">
        <v>160</v>
      </c>
      <c r="M2" s="593" t="s">
        <v>161</v>
      </c>
      <c r="N2" s="621" t="s">
        <v>167</v>
      </c>
      <c r="O2" s="634"/>
      <c r="P2" s="622"/>
    </row>
    <row r="3" spans="1:18" s="122" customFormat="1" ht="51" customHeight="1" x14ac:dyDescent="0.2">
      <c r="A3" s="592"/>
      <c r="B3" s="592"/>
      <c r="C3" s="592"/>
      <c r="D3" s="592"/>
      <c r="E3" s="592"/>
      <c r="F3" s="592"/>
      <c r="G3" s="592"/>
      <c r="H3" s="592"/>
      <c r="I3" s="592"/>
      <c r="J3" s="592"/>
      <c r="K3" s="592"/>
      <c r="L3" s="592"/>
      <c r="M3" s="592"/>
      <c r="N3" s="124" t="s">
        <v>163</v>
      </c>
      <c r="O3" s="124" t="s">
        <v>164</v>
      </c>
      <c r="P3" s="124" t="s">
        <v>165</v>
      </c>
    </row>
    <row r="4" spans="1:18" s="122" customFormat="1" ht="14.25" customHeight="1" x14ac:dyDescent="0.25">
      <c r="A4" s="209" t="s">
        <v>5</v>
      </c>
      <c r="B4" s="126">
        <v>1931</v>
      </c>
      <c r="C4" s="126">
        <v>4</v>
      </c>
      <c r="D4" s="126">
        <v>1922</v>
      </c>
      <c r="E4" s="126">
        <v>248</v>
      </c>
      <c r="F4" s="149">
        <v>28531.564409999999</v>
      </c>
      <c r="G4" s="159">
        <v>3749975.932</v>
      </c>
      <c r="H4" s="159">
        <v>7949004.3090000004</v>
      </c>
      <c r="I4" s="149">
        <v>32052.436730000001</v>
      </c>
      <c r="J4" s="149">
        <v>27860.387170000002</v>
      </c>
      <c r="K4" s="159">
        <v>3749975.932</v>
      </c>
      <c r="L4" s="159">
        <v>7949004.3090000004</v>
      </c>
      <c r="M4" s="163">
        <v>14934226.84</v>
      </c>
      <c r="N4" s="149">
        <v>11760.2</v>
      </c>
      <c r="O4" s="149">
        <v>10004.549999999999</v>
      </c>
      <c r="P4" s="149">
        <v>11623.9</v>
      </c>
    </row>
    <row r="5" spans="1:18" s="241" customFormat="1" ht="13.5" customHeight="1" x14ac:dyDescent="0.25">
      <c r="A5" s="284" t="s">
        <v>6</v>
      </c>
      <c r="B5" s="285">
        <v>1942</v>
      </c>
      <c r="C5" s="285">
        <v>4</v>
      </c>
      <c r="D5" s="285">
        <v>1873</v>
      </c>
      <c r="E5" s="286">
        <v>41</v>
      </c>
      <c r="F5" s="286">
        <v>4881.8635299999996</v>
      </c>
      <c r="G5" s="286">
        <v>681348.02553999994</v>
      </c>
      <c r="H5" s="286">
        <v>1428298.9516038862</v>
      </c>
      <c r="I5" s="286">
        <v>34836.559795216737</v>
      </c>
      <c r="J5" s="286">
        <v>29257.248647503391</v>
      </c>
      <c r="K5" s="286">
        <v>681348.02553999994</v>
      </c>
      <c r="L5" s="286">
        <v>1428298.9516038862</v>
      </c>
      <c r="M5" s="286">
        <v>15254361.2937959</v>
      </c>
      <c r="N5" s="287">
        <v>12041.15</v>
      </c>
      <c r="O5" s="287">
        <v>11108.3</v>
      </c>
      <c r="P5" s="287">
        <v>11922.8</v>
      </c>
      <c r="Q5" s="243"/>
      <c r="R5" s="243"/>
    </row>
    <row r="6" spans="1:18" s="242" customFormat="1" ht="16.5" customHeight="1" x14ac:dyDescent="0.25">
      <c r="A6" s="288" t="s">
        <v>70</v>
      </c>
      <c r="B6" s="289">
        <v>1938</v>
      </c>
      <c r="C6" s="290">
        <v>4</v>
      </c>
      <c r="D6" s="291">
        <v>1856</v>
      </c>
      <c r="E6" s="292">
        <v>19</v>
      </c>
      <c r="F6" s="293">
        <v>2147.2409699999998</v>
      </c>
      <c r="G6" s="289">
        <v>308635.83086999995</v>
      </c>
      <c r="H6" s="289">
        <v>640115.3874419101</v>
      </c>
      <c r="I6" s="292">
        <v>33690.283549574218</v>
      </c>
      <c r="J6" s="292">
        <v>29811.064355851508</v>
      </c>
      <c r="K6" s="289">
        <v>308635.83086999995</v>
      </c>
      <c r="L6" s="289">
        <v>640115.3874419101</v>
      </c>
      <c r="M6" s="292">
        <v>15043275.4967207</v>
      </c>
      <c r="N6" s="294">
        <v>11856.15</v>
      </c>
      <c r="O6" s="294">
        <v>11549.1</v>
      </c>
      <c r="P6" s="294">
        <v>11748.15</v>
      </c>
    </row>
    <row r="7" spans="1:18" s="242" customFormat="1" ht="15" customHeight="1" x14ac:dyDescent="0.25">
      <c r="A7" s="288">
        <v>43586</v>
      </c>
      <c r="B7" s="289">
        <v>1942</v>
      </c>
      <c r="C7" s="290">
        <v>4</v>
      </c>
      <c r="D7" s="289">
        <v>1860</v>
      </c>
      <c r="E7" s="292">
        <v>22</v>
      </c>
      <c r="F7" s="293">
        <v>2734.6225599999998</v>
      </c>
      <c r="G7" s="295">
        <v>372712.19467</v>
      </c>
      <c r="H7" s="289">
        <v>788183.56416197622</v>
      </c>
      <c r="I7" s="292">
        <v>35826.525643726192</v>
      </c>
      <c r="J7" s="292">
        <v>28822.389447484707</v>
      </c>
      <c r="K7" s="295">
        <v>372712.19467</v>
      </c>
      <c r="L7" s="289">
        <v>788183.56416197622</v>
      </c>
      <c r="M7" s="292">
        <v>15254361.2937959</v>
      </c>
      <c r="N7" s="296">
        <v>12041.15</v>
      </c>
      <c r="O7" s="296">
        <v>11108.3</v>
      </c>
      <c r="P7" s="296">
        <v>11922.8</v>
      </c>
    </row>
    <row r="8" spans="1:18" s="189" customFormat="1" ht="15" customHeight="1" x14ac:dyDescent="0.2">
      <c r="A8" s="594" t="s">
        <v>168</v>
      </c>
      <c r="B8" s="594"/>
      <c r="C8" s="594"/>
      <c r="D8" s="594"/>
      <c r="E8" s="594"/>
      <c r="F8" s="594"/>
      <c r="G8" s="594"/>
      <c r="H8" s="594"/>
    </row>
    <row r="9" spans="1:18" s="189" customFormat="1" ht="13.5" customHeight="1" x14ac:dyDescent="0.2">
      <c r="A9" s="594" t="s">
        <v>846</v>
      </c>
      <c r="B9" s="594"/>
      <c r="C9" s="594"/>
      <c r="D9" s="594"/>
      <c r="E9" s="594"/>
      <c r="F9" s="594"/>
      <c r="G9" s="594"/>
      <c r="H9" s="594"/>
    </row>
    <row r="10" spans="1:18" s="189" customFormat="1" ht="13.5" customHeight="1" x14ac:dyDescent="0.2">
      <c r="A10" s="594" t="s">
        <v>169</v>
      </c>
      <c r="B10" s="594"/>
      <c r="C10" s="594"/>
      <c r="D10" s="594"/>
      <c r="E10" s="594"/>
      <c r="F10" s="594"/>
      <c r="G10" s="594"/>
      <c r="H10" s="594"/>
    </row>
    <row r="11" spans="1:18" s="125" customFormat="1" ht="28.35" customHeight="1" x14ac:dyDescent="0.2"/>
  </sheetData>
  <mergeCells count="18">
    <mergeCell ref="M2:M3"/>
    <mergeCell ref="N2:P2"/>
    <mergeCell ref="A8:H8"/>
    <mergeCell ref="A1:P1"/>
    <mergeCell ref="A2:A3"/>
    <mergeCell ref="B2:B3"/>
    <mergeCell ref="C2:C3"/>
    <mergeCell ref="D2:D3"/>
    <mergeCell ref="E2:E3"/>
    <mergeCell ref="F2:F3"/>
    <mergeCell ref="G2:G3"/>
    <mergeCell ref="H2:H3"/>
    <mergeCell ref="I2:I3"/>
    <mergeCell ref="A9:H9"/>
    <mergeCell ref="A10:H10"/>
    <mergeCell ref="J2:J3"/>
    <mergeCell ref="K2:K3"/>
    <mergeCell ref="L2:L3"/>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
  <sheetViews>
    <sheetView zoomScaleNormal="100" workbookViewId="0">
      <selection activeCell="G13" sqref="G13"/>
    </sheetView>
  </sheetViews>
  <sheetFormatPr defaultRowHeight="15" x14ac:dyDescent="0.25"/>
  <cols>
    <col min="1" max="1" width="9.5703125" style="123" customWidth="1"/>
    <col min="2" max="2" width="11.140625" style="123" customWidth="1"/>
    <col min="3" max="3" width="12.85546875" style="123" customWidth="1"/>
    <col min="4" max="4" width="11.28515625" style="123" customWidth="1"/>
    <col min="5" max="5" width="9.42578125" style="123" customWidth="1"/>
    <col min="6" max="6" width="9.140625" style="123" customWidth="1"/>
    <col min="7" max="7" width="9.28515625" style="123" customWidth="1"/>
    <col min="8" max="8" width="10.140625" style="123" customWidth="1"/>
    <col min="9" max="9" width="10" style="123" customWidth="1"/>
    <col min="10" max="10" width="10.85546875" style="123" customWidth="1"/>
    <col min="11" max="11" width="13.42578125" style="123" customWidth="1"/>
    <col min="12" max="12" width="10.140625" style="123" customWidth="1"/>
    <col min="13" max="13" width="12.85546875" style="123" customWidth="1"/>
    <col min="14" max="14" width="10.28515625" style="123" customWidth="1"/>
    <col min="15" max="15" width="9.5703125" style="123" customWidth="1"/>
    <col min="16" max="16" width="9.85546875" style="123" customWidth="1"/>
    <col min="17" max="17" width="4.7109375" style="123" bestFit="1" customWidth="1"/>
    <col min="18" max="16384" width="9.140625" style="123"/>
  </cols>
  <sheetData>
    <row r="1" spans="1:16" x14ac:dyDescent="0.25">
      <c r="A1" s="151" t="str">
        <f>'Data Summary'!$A$22</f>
        <v>Table 20:  Trends in Cash Segment of MSEI</v>
      </c>
      <c r="B1" s="151"/>
      <c r="C1" s="151"/>
    </row>
    <row r="2" spans="1:16" s="125" customFormat="1" ht="32.25" customHeight="1" x14ac:dyDescent="0.2">
      <c r="A2" s="591" t="s">
        <v>82</v>
      </c>
      <c r="B2" s="591" t="s">
        <v>150</v>
      </c>
      <c r="C2" s="591" t="s">
        <v>170</v>
      </c>
      <c r="D2" s="591" t="s">
        <v>171</v>
      </c>
      <c r="E2" s="591" t="s">
        <v>153</v>
      </c>
      <c r="F2" s="591" t="s">
        <v>154</v>
      </c>
      <c r="G2" s="591" t="s">
        <v>155</v>
      </c>
      <c r="H2" s="591" t="s">
        <v>172</v>
      </c>
      <c r="I2" s="591" t="s">
        <v>173</v>
      </c>
      <c r="J2" s="593" t="s">
        <v>158</v>
      </c>
      <c r="K2" s="591" t="s">
        <v>159</v>
      </c>
      <c r="L2" s="591" t="s">
        <v>174</v>
      </c>
      <c r="M2" s="591" t="s">
        <v>175</v>
      </c>
      <c r="N2" s="621" t="s">
        <v>176</v>
      </c>
      <c r="O2" s="634"/>
      <c r="P2" s="622"/>
    </row>
    <row r="3" spans="1:16" s="125" customFormat="1" ht="21" customHeight="1" x14ac:dyDescent="0.2">
      <c r="A3" s="592"/>
      <c r="B3" s="592"/>
      <c r="C3" s="592"/>
      <c r="D3" s="592"/>
      <c r="E3" s="592"/>
      <c r="F3" s="592"/>
      <c r="G3" s="592"/>
      <c r="H3" s="592"/>
      <c r="I3" s="592"/>
      <c r="J3" s="592"/>
      <c r="K3" s="592"/>
      <c r="L3" s="592"/>
      <c r="M3" s="592"/>
      <c r="N3" s="124" t="s">
        <v>163</v>
      </c>
      <c r="O3" s="124" t="s">
        <v>164</v>
      </c>
      <c r="P3" s="124" t="s">
        <v>165</v>
      </c>
    </row>
    <row r="4" spans="1:16" s="125" customFormat="1" ht="18" customHeight="1" x14ac:dyDescent="0.2">
      <c r="A4" s="190" t="s">
        <v>5</v>
      </c>
      <c r="B4" s="203">
        <v>287</v>
      </c>
      <c r="C4" s="203">
        <v>1309</v>
      </c>
      <c r="D4" s="203">
        <v>8</v>
      </c>
      <c r="E4" s="203">
        <v>248</v>
      </c>
      <c r="F4" s="203">
        <v>1.9109999999999999E-2</v>
      </c>
      <c r="G4" s="203">
        <v>14.16864</v>
      </c>
      <c r="H4" s="203">
        <v>30.293250435000001</v>
      </c>
      <c r="I4" s="203">
        <v>0.122150203</v>
      </c>
      <c r="J4" s="227">
        <v>158520.41043955999</v>
      </c>
      <c r="K4" s="203">
        <v>14.168530000000001</v>
      </c>
      <c r="L4" s="203">
        <v>30.288544030000001</v>
      </c>
      <c r="M4" s="244">
        <v>14751584.310000001</v>
      </c>
      <c r="N4" s="203">
        <v>22872.75</v>
      </c>
      <c r="O4" s="203">
        <v>19644.59</v>
      </c>
      <c r="P4" s="203">
        <v>22743.31</v>
      </c>
    </row>
    <row r="5" spans="1:16" s="125" customFormat="1" ht="18" customHeight="1" x14ac:dyDescent="0.2">
      <c r="A5" s="190" t="s">
        <v>6</v>
      </c>
      <c r="B5" s="203">
        <v>288</v>
      </c>
      <c r="C5" s="203">
        <v>1306</v>
      </c>
      <c r="D5" s="203">
        <v>7</v>
      </c>
      <c r="E5" s="203">
        <v>41</v>
      </c>
      <c r="F5" s="203">
        <v>4.13E-3</v>
      </c>
      <c r="G5" s="203">
        <v>7.5401799999999994</v>
      </c>
      <c r="H5" s="203">
        <v>14.614637419999999</v>
      </c>
      <c r="I5" s="203">
        <v>0.35645457121951218</v>
      </c>
      <c r="J5" s="227">
        <v>353865.31283292978</v>
      </c>
      <c r="K5" s="203">
        <v>12.599758233564067</v>
      </c>
      <c r="L5" s="203">
        <v>14.61463782</v>
      </c>
      <c r="M5" s="244">
        <v>15035898.15</v>
      </c>
      <c r="N5" s="203">
        <v>23401.49</v>
      </c>
      <c r="O5" s="203">
        <v>21840.05</v>
      </c>
      <c r="P5" s="203">
        <v>23357.37</v>
      </c>
    </row>
    <row r="6" spans="1:16" s="125" customFormat="1" ht="18" customHeight="1" x14ac:dyDescent="0.2">
      <c r="A6" s="156" t="s">
        <v>70</v>
      </c>
      <c r="B6" s="203">
        <v>286</v>
      </c>
      <c r="C6" s="203">
        <v>1308</v>
      </c>
      <c r="D6" s="203">
        <v>6</v>
      </c>
      <c r="E6" s="203">
        <v>19</v>
      </c>
      <c r="F6" s="203">
        <v>2.2699999999999999E-3</v>
      </c>
      <c r="G6" s="203">
        <v>3.8297399999999997</v>
      </c>
      <c r="H6" s="203">
        <v>7.4556995999999991</v>
      </c>
      <c r="I6" s="203">
        <v>0.39240524210526312</v>
      </c>
      <c r="J6" s="227">
        <v>328444.91629955947</v>
      </c>
      <c r="K6" s="203">
        <v>3.8297400000000001</v>
      </c>
      <c r="L6" s="203">
        <v>7.4557000000000002</v>
      </c>
      <c r="M6" s="244">
        <v>14842660.65</v>
      </c>
      <c r="N6" s="203">
        <v>23072</v>
      </c>
      <c r="O6" s="203">
        <v>22659.08</v>
      </c>
      <c r="P6" s="203">
        <v>23000.87</v>
      </c>
    </row>
    <row r="7" spans="1:16" s="245" customFormat="1" x14ac:dyDescent="0.2">
      <c r="A7" s="188">
        <v>43586</v>
      </c>
      <c r="B7" s="203">
        <v>288</v>
      </c>
      <c r="C7" s="203">
        <v>1306</v>
      </c>
      <c r="D7" s="203">
        <v>5</v>
      </c>
      <c r="E7" s="203">
        <v>22</v>
      </c>
      <c r="F7" s="203">
        <v>1.8600000000000003E-3</v>
      </c>
      <c r="G7" s="203">
        <v>3.7104399999999997</v>
      </c>
      <c r="H7" s="203">
        <v>7.1589378200000002</v>
      </c>
      <c r="I7" s="203">
        <v>0.32540626454545457</v>
      </c>
      <c r="J7" s="203">
        <v>174.9496045943304</v>
      </c>
      <c r="K7" s="203">
        <v>8.770018233564068</v>
      </c>
      <c r="L7" s="203">
        <v>7.1589378200000002</v>
      </c>
      <c r="M7" s="244">
        <v>15035898.15</v>
      </c>
      <c r="N7" s="203">
        <v>23401.49</v>
      </c>
      <c r="O7" s="203">
        <v>21840.05</v>
      </c>
      <c r="P7" s="203">
        <v>23357.37</v>
      </c>
    </row>
    <row r="8" spans="1:16" s="125" customFormat="1" ht="18.75" customHeight="1" x14ac:dyDescent="0.2">
      <c r="A8" s="635" t="str">
        <f>'19'!$A$9</f>
        <v>$ indicatesas on May 31, 2019</v>
      </c>
      <c r="B8" s="635"/>
      <c r="C8" s="635"/>
      <c r="D8" s="635"/>
      <c r="E8" s="635"/>
      <c r="F8" s="635"/>
      <c r="G8" s="635"/>
      <c r="H8" s="635"/>
      <c r="I8" s="635"/>
      <c r="J8" s="635"/>
      <c r="K8" s="635"/>
      <c r="L8" s="635"/>
      <c r="M8" s="635"/>
      <c r="N8" s="635"/>
      <c r="O8" s="635"/>
      <c r="P8" s="635"/>
    </row>
    <row r="9" spans="1:16" s="125" customFormat="1" ht="18.75" customHeight="1" x14ac:dyDescent="0.2">
      <c r="A9" s="575" t="s">
        <v>177</v>
      </c>
      <c r="B9" s="575"/>
      <c r="C9" s="575"/>
      <c r="D9" s="575"/>
      <c r="E9" s="575"/>
      <c r="F9" s="575"/>
      <c r="G9" s="575"/>
      <c r="H9" s="575"/>
      <c r="I9" s="575"/>
      <c r="J9" s="575"/>
      <c r="K9" s="575"/>
      <c r="L9" s="575"/>
      <c r="M9" s="575"/>
      <c r="N9" s="575"/>
      <c r="O9" s="575"/>
      <c r="P9" s="575"/>
    </row>
    <row r="10" spans="1:16" s="125" customFormat="1" ht="28.35" customHeight="1" x14ac:dyDescent="0.2"/>
  </sheetData>
  <mergeCells count="16">
    <mergeCell ref="M2:M3"/>
    <mergeCell ref="N2:P2"/>
    <mergeCell ref="A8:P8"/>
    <mergeCell ref="A9:P9"/>
    <mergeCell ref="F2:F3"/>
    <mergeCell ref="G2:G3"/>
    <mergeCell ref="H2:H3"/>
    <mergeCell ref="I2:I3"/>
    <mergeCell ref="J2:J3"/>
    <mergeCell ref="K2:K3"/>
    <mergeCell ref="E2:E3"/>
    <mergeCell ref="A2:A3"/>
    <mergeCell ref="B2:B3"/>
    <mergeCell ref="C2:C3"/>
    <mergeCell ref="D2:D3"/>
    <mergeCell ref="L2:L3"/>
  </mergeCell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6" zoomScaleNormal="100" workbookViewId="0">
      <selection activeCell="F30" sqref="F30"/>
    </sheetView>
  </sheetViews>
  <sheetFormatPr defaultRowHeight="15" x14ac:dyDescent="0.25"/>
  <cols>
    <col min="1" max="1" width="6.42578125" style="123" bestFit="1" customWidth="1"/>
    <col min="2" max="2" width="18.42578125" style="123" customWidth="1"/>
    <col min="3" max="8" width="13.5703125" style="123" bestFit="1" customWidth="1"/>
    <col min="9" max="9" width="4.85546875" style="123" bestFit="1" customWidth="1"/>
    <col min="10" max="16384" width="9.140625" style="123"/>
  </cols>
  <sheetData>
    <row r="1" spans="1:8" ht="13.5" customHeight="1" x14ac:dyDescent="0.25">
      <c r="A1" s="625" t="s">
        <v>885</v>
      </c>
      <c r="B1" s="625"/>
      <c r="C1" s="625"/>
      <c r="D1" s="625"/>
    </row>
    <row r="2" spans="1:8" s="125" customFormat="1" ht="19.5" customHeight="1" x14ac:dyDescent="0.2">
      <c r="A2" s="618" t="s">
        <v>178</v>
      </c>
      <c r="B2" s="619"/>
      <c r="C2" s="619"/>
      <c r="D2" s="619"/>
      <c r="E2" s="619"/>
      <c r="F2" s="619"/>
      <c r="G2" s="619"/>
      <c r="H2" s="620"/>
    </row>
    <row r="3" spans="1:8" s="125" customFormat="1" ht="15" customHeight="1" x14ac:dyDescent="0.25">
      <c r="A3" s="581" t="s">
        <v>179</v>
      </c>
      <c r="B3" s="581" t="s">
        <v>180</v>
      </c>
      <c r="C3" s="587" t="s">
        <v>129</v>
      </c>
      <c r="D3" s="588"/>
      <c r="E3" s="587" t="s">
        <v>130</v>
      </c>
      <c r="F3" s="588"/>
      <c r="G3" s="618" t="s">
        <v>131</v>
      </c>
      <c r="H3" s="620"/>
    </row>
    <row r="4" spans="1:8" s="125" customFormat="1" ht="18" customHeight="1" x14ac:dyDescent="0.25">
      <c r="A4" s="583"/>
      <c r="B4" s="583"/>
      <c r="C4" s="161" t="s">
        <v>5</v>
      </c>
      <c r="D4" s="477">
        <v>43586</v>
      </c>
      <c r="E4" s="161" t="s">
        <v>5</v>
      </c>
      <c r="F4" s="477">
        <v>43586</v>
      </c>
      <c r="G4" s="161" t="s">
        <v>5</v>
      </c>
      <c r="H4" s="477">
        <v>43586</v>
      </c>
    </row>
    <row r="5" spans="1:8" s="125" customFormat="1" ht="18" customHeight="1" x14ac:dyDescent="0.25">
      <c r="A5" s="126">
        <v>1</v>
      </c>
      <c r="B5" s="148" t="s">
        <v>181</v>
      </c>
      <c r="C5" s="164">
        <v>2.540772</v>
      </c>
      <c r="D5" s="164">
        <v>2.2122645077177912</v>
      </c>
      <c r="E5" s="164">
        <v>2.2400000000000002</v>
      </c>
      <c r="F5" s="164">
        <v>1.5698792501855079</v>
      </c>
      <c r="G5" s="164">
        <v>0</v>
      </c>
      <c r="H5" s="164">
        <v>0</v>
      </c>
    </row>
    <row r="6" spans="1:8" s="125" customFormat="1" ht="18" customHeight="1" x14ac:dyDescent="0.25">
      <c r="A6" s="126">
        <v>2</v>
      </c>
      <c r="B6" s="148" t="s">
        <v>182</v>
      </c>
      <c r="C6" s="164">
        <v>0.453121</v>
      </c>
      <c r="D6" s="164">
        <v>1.5106302378385161</v>
      </c>
      <c r="E6" s="164">
        <v>3.84</v>
      </c>
      <c r="F6" s="164">
        <v>3.8620145318225663</v>
      </c>
      <c r="G6" s="164">
        <v>0</v>
      </c>
      <c r="H6" s="164">
        <v>0</v>
      </c>
    </row>
    <row r="7" spans="1:8" s="125" customFormat="1" ht="18" customHeight="1" x14ac:dyDescent="0.25">
      <c r="A7" s="126">
        <v>3</v>
      </c>
      <c r="B7" s="475" t="s">
        <v>1022</v>
      </c>
      <c r="C7" s="164">
        <v>0.90787099999999998</v>
      </c>
      <c r="D7" s="164">
        <v>0.96137643138612638</v>
      </c>
      <c r="E7" s="164">
        <v>0.3</v>
      </c>
      <c r="F7" s="164">
        <v>0.21473275877304374</v>
      </c>
      <c r="G7" s="164">
        <v>0</v>
      </c>
      <c r="H7" s="164">
        <v>0</v>
      </c>
    </row>
    <row r="8" spans="1:8" s="125" customFormat="1" ht="18" customHeight="1" x14ac:dyDescent="0.25">
      <c r="A8" s="126">
        <v>4</v>
      </c>
      <c r="B8" s="148" t="s">
        <v>183</v>
      </c>
      <c r="C8" s="164">
        <v>1.9894999999999999E-2</v>
      </c>
      <c r="D8" s="164">
        <v>1.2473842939617555E-2</v>
      </c>
      <c r="E8" s="164">
        <v>0</v>
      </c>
      <c r="F8" s="164">
        <v>2.8503018385268121E-4</v>
      </c>
      <c r="G8" s="164">
        <v>0</v>
      </c>
      <c r="H8" s="164">
        <v>0</v>
      </c>
    </row>
    <row r="9" spans="1:8" s="125" customFormat="1" ht="18" customHeight="1" x14ac:dyDescent="0.25">
      <c r="A9" s="126">
        <v>5</v>
      </c>
      <c r="B9" s="148" t="s">
        <v>184</v>
      </c>
      <c r="C9" s="164">
        <v>1.090857</v>
      </c>
      <c r="D9" s="164">
        <v>0.96765416509747137</v>
      </c>
      <c r="E9" s="164">
        <v>0.86</v>
      </c>
      <c r="F9" s="164">
        <v>0.84342266197208093</v>
      </c>
      <c r="G9" s="164">
        <v>0</v>
      </c>
      <c r="H9" s="164">
        <v>0</v>
      </c>
    </row>
    <row r="10" spans="1:8" s="125" customFormat="1" ht="18" customHeight="1" x14ac:dyDescent="0.25">
      <c r="A10" s="126">
        <v>6</v>
      </c>
      <c r="B10" s="476" t="s">
        <v>1023</v>
      </c>
      <c r="C10" s="164">
        <v>0.10466200000000001</v>
      </c>
      <c r="D10" s="164">
        <v>0.10161082445342351</v>
      </c>
      <c r="E10" s="164">
        <v>0.75</v>
      </c>
      <c r="F10" s="164">
        <v>0.73763925009686693</v>
      </c>
      <c r="G10" s="164">
        <v>0</v>
      </c>
      <c r="H10" s="164">
        <v>0</v>
      </c>
    </row>
    <row r="11" spans="1:8" s="125" customFormat="1" ht="18" customHeight="1" x14ac:dyDescent="0.25">
      <c r="A11" s="126">
        <v>7</v>
      </c>
      <c r="B11" s="148" t="s">
        <v>185</v>
      </c>
      <c r="C11" s="164">
        <v>4.2660999999999998E-2</v>
      </c>
      <c r="D11" s="164">
        <v>4.854812693944599E-2</v>
      </c>
      <c r="E11" s="164">
        <v>0.05</v>
      </c>
      <c r="F11" s="164">
        <v>3.9883869475010401E-2</v>
      </c>
      <c r="G11" s="164">
        <v>0</v>
      </c>
      <c r="H11" s="164">
        <v>0</v>
      </c>
    </row>
    <row r="12" spans="1:8" s="125" customFormat="1" ht="18" customHeight="1" x14ac:dyDescent="0.25">
      <c r="A12" s="126">
        <v>8</v>
      </c>
      <c r="B12" s="148" t="s">
        <v>186</v>
      </c>
      <c r="C12" s="164">
        <v>1.6045739999999999</v>
      </c>
      <c r="D12" s="164">
        <v>1.6595221861682448</v>
      </c>
      <c r="E12" s="164">
        <v>6.34</v>
      </c>
      <c r="F12" s="164">
        <v>6.6370848948443406</v>
      </c>
      <c r="G12" s="164">
        <v>29.35</v>
      </c>
      <c r="H12" s="164">
        <v>48.716309216385959</v>
      </c>
    </row>
    <row r="13" spans="1:8" s="125" customFormat="1" ht="18" customHeight="1" x14ac:dyDescent="0.25">
      <c r="A13" s="126">
        <v>9</v>
      </c>
      <c r="B13" s="148" t="s">
        <v>187</v>
      </c>
      <c r="C13" s="164">
        <v>4.6059000000000003E-2</v>
      </c>
      <c r="D13" s="164">
        <v>3.6489725831651852E-2</v>
      </c>
      <c r="E13" s="164">
        <v>0</v>
      </c>
      <c r="F13" s="164">
        <v>7.1014223879048623E-3</v>
      </c>
      <c r="G13" s="164">
        <v>0</v>
      </c>
      <c r="H13" s="164">
        <v>0</v>
      </c>
    </row>
    <row r="14" spans="1:8" s="125" customFormat="1" ht="18" customHeight="1" x14ac:dyDescent="0.25">
      <c r="A14" s="126">
        <v>10</v>
      </c>
      <c r="B14" s="148" t="s">
        <v>188</v>
      </c>
      <c r="C14" s="164">
        <v>0.42801600000000001</v>
      </c>
      <c r="D14" s="164">
        <v>0.80467222867127863</v>
      </c>
      <c r="E14" s="164">
        <v>3.36</v>
      </c>
      <c r="F14" s="164">
        <v>3.2473455453904059</v>
      </c>
      <c r="G14" s="164">
        <v>0.08</v>
      </c>
      <c r="H14" s="164">
        <v>0</v>
      </c>
    </row>
    <row r="15" spans="1:8" s="125" customFormat="1" ht="18" customHeight="1" x14ac:dyDescent="0.25">
      <c r="A15" s="126">
        <v>11</v>
      </c>
      <c r="B15" s="148" t="s">
        <v>189</v>
      </c>
      <c r="C15" s="164">
        <v>0.350443</v>
      </c>
      <c r="D15" s="164">
        <v>0.30614905113184271</v>
      </c>
      <c r="E15" s="164">
        <v>0.44</v>
      </c>
      <c r="F15" s="164">
        <v>0.22737704304039991</v>
      </c>
      <c r="G15" s="164">
        <v>0</v>
      </c>
      <c r="H15" s="164">
        <v>0</v>
      </c>
    </row>
    <row r="16" spans="1:8" s="125" customFormat="1" ht="18" customHeight="1" x14ac:dyDescent="0.25">
      <c r="A16" s="126">
        <v>12</v>
      </c>
      <c r="B16" s="148" t="s">
        <v>190</v>
      </c>
      <c r="C16" s="164">
        <v>0.55899100000000002</v>
      </c>
      <c r="D16" s="164">
        <v>0.64051182811150531</v>
      </c>
      <c r="E16" s="164">
        <v>0.32</v>
      </c>
      <c r="F16" s="164">
        <v>0.23026303440517346</v>
      </c>
      <c r="G16" s="164">
        <v>0.09</v>
      </c>
      <c r="H16" s="164">
        <v>0</v>
      </c>
    </row>
    <row r="17" spans="1:8" s="125" customFormat="1" ht="18" customHeight="1" x14ac:dyDescent="0.25">
      <c r="A17" s="126">
        <v>13</v>
      </c>
      <c r="B17" s="148" t="s">
        <v>191</v>
      </c>
      <c r="C17" s="164">
        <v>0.28089900000000001</v>
      </c>
      <c r="D17" s="164">
        <v>0.45937645705410252</v>
      </c>
      <c r="E17" s="164">
        <v>7.0000000000000007E-2</v>
      </c>
      <c r="F17" s="164">
        <v>6.8970418278721898E-2</v>
      </c>
      <c r="G17" s="164">
        <v>0</v>
      </c>
      <c r="H17" s="164">
        <v>0</v>
      </c>
    </row>
    <row r="18" spans="1:8" s="125" customFormat="1" ht="18" customHeight="1" x14ac:dyDescent="0.25">
      <c r="A18" s="126">
        <v>14</v>
      </c>
      <c r="B18" s="148" t="s">
        <v>192</v>
      </c>
      <c r="C18" s="164">
        <v>2.4107639999999999</v>
      </c>
      <c r="D18" s="164">
        <v>2.2169140442094859</v>
      </c>
      <c r="E18" s="164">
        <v>4.84</v>
      </c>
      <c r="F18" s="164">
        <v>4.9165011442068991</v>
      </c>
      <c r="G18" s="164">
        <v>0</v>
      </c>
      <c r="H18" s="164">
        <v>0</v>
      </c>
    </row>
    <row r="19" spans="1:8" s="125" customFormat="1" ht="18" customHeight="1" x14ac:dyDescent="0.25">
      <c r="A19" s="126">
        <v>15</v>
      </c>
      <c r="B19" s="148" t="s">
        <v>193</v>
      </c>
      <c r="C19" s="164">
        <v>8.7381E-2</v>
      </c>
      <c r="D19" s="164">
        <v>8.5547133198668621E-2</v>
      </c>
      <c r="E19" s="164">
        <v>0.19</v>
      </c>
      <c r="F19" s="164">
        <v>0.11523056395838138</v>
      </c>
      <c r="G19" s="164">
        <v>0</v>
      </c>
      <c r="H19" s="164">
        <v>0</v>
      </c>
    </row>
    <row r="20" spans="1:8" s="125" customFormat="1" ht="18" customHeight="1" x14ac:dyDescent="0.25">
      <c r="A20" s="126">
        <v>16</v>
      </c>
      <c r="B20" s="148" t="s">
        <v>194</v>
      </c>
      <c r="C20" s="164">
        <v>1.6735E-2</v>
      </c>
      <c r="D20" s="164">
        <v>2.7497081700554236E-2</v>
      </c>
      <c r="E20" s="164">
        <v>0</v>
      </c>
      <c r="F20" s="164">
        <v>4.1150766604581884E-4</v>
      </c>
      <c r="G20" s="164">
        <v>0</v>
      </c>
      <c r="H20" s="164">
        <v>0</v>
      </c>
    </row>
    <row r="21" spans="1:8" s="125" customFormat="1" ht="18" customHeight="1" x14ac:dyDescent="0.25">
      <c r="A21" s="126">
        <v>17</v>
      </c>
      <c r="B21" s="148" t="s">
        <v>195</v>
      </c>
      <c r="C21" s="164">
        <v>56.412700000000001</v>
      </c>
      <c r="D21" s="164">
        <v>48.078690814813264</v>
      </c>
      <c r="E21" s="164">
        <v>64.31</v>
      </c>
      <c r="F21" s="164">
        <v>64.517344414165052</v>
      </c>
      <c r="G21" s="164">
        <v>40.659999999999997</v>
      </c>
      <c r="H21" s="164">
        <v>32.322607182527527</v>
      </c>
    </row>
    <row r="22" spans="1:8" s="125" customFormat="1" ht="18" customHeight="1" x14ac:dyDescent="0.25">
      <c r="A22" s="126">
        <v>18</v>
      </c>
      <c r="B22" s="148" t="s">
        <v>196</v>
      </c>
      <c r="C22" s="164">
        <v>5.1506999999999997E-2</v>
      </c>
      <c r="D22" s="164">
        <v>5.3524838387992754E-2</v>
      </c>
      <c r="E22" s="164">
        <v>0</v>
      </c>
      <c r="F22" s="164">
        <v>4.4148623376108443E-4</v>
      </c>
      <c r="G22" s="164">
        <v>0</v>
      </c>
      <c r="H22" s="164">
        <v>0</v>
      </c>
    </row>
    <row r="23" spans="1:8" s="125" customFormat="1" ht="18" customHeight="1" x14ac:dyDescent="0.25">
      <c r="A23" s="126">
        <v>19</v>
      </c>
      <c r="B23" s="148" t="s">
        <v>197</v>
      </c>
      <c r="C23" s="164">
        <v>0.32509300000000002</v>
      </c>
      <c r="D23" s="164">
        <v>0.37521401964335194</v>
      </c>
      <c r="E23" s="164">
        <v>0.1</v>
      </c>
      <c r="F23" s="164">
        <v>8.3828608093419243E-2</v>
      </c>
      <c r="G23" s="164">
        <v>0</v>
      </c>
      <c r="H23" s="164">
        <v>0</v>
      </c>
    </row>
    <row r="24" spans="1:8" s="125" customFormat="1" ht="18" customHeight="1" x14ac:dyDescent="0.25">
      <c r="A24" s="126">
        <v>20</v>
      </c>
      <c r="B24" s="148" t="s">
        <v>198</v>
      </c>
      <c r="C24" s="164">
        <v>1.6684300000000001</v>
      </c>
      <c r="D24" s="164">
        <v>1.7725226767450131</v>
      </c>
      <c r="E24" s="164">
        <v>1.17</v>
      </c>
      <c r="F24" s="164">
        <v>1.0838813344436766</v>
      </c>
      <c r="G24" s="164">
        <v>0</v>
      </c>
      <c r="H24" s="164">
        <v>0</v>
      </c>
    </row>
    <row r="25" spans="1:8" s="125" customFormat="1" ht="18" customHeight="1" x14ac:dyDescent="0.25">
      <c r="A25" s="126">
        <v>21</v>
      </c>
      <c r="B25" s="148" t="s">
        <v>199</v>
      </c>
      <c r="C25" s="164">
        <v>30.598569999999999</v>
      </c>
      <c r="D25" s="164">
        <v>37.668809777960661</v>
      </c>
      <c r="E25" s="164">
        <v>10.84</v>
      </c>
      <c r="F25" s="164">
        <v>11.596361230376914</v>
      </c>
      <c r="G25" s="164">
        <v>29.82</v>
      </c>
      <c r="H25" s="164">
        <v>18.961083601086507</v>
      </c>
    </row>
    <row r="26" spans="1:8" s="125" customFormat="1" ht="18" customHeight="1" x14ac:dyDescent="0.25">
      <c r="A26" s="148"/>
      <c r="B26" s="148" t="s">
        <v>64</v>
      </c>
      <c r="C26" s="165">
        <v>100.000001</v>
      </c>
      <c r="D26" s="166">
        <v>100.00000000199999</v>
      </c>
      <c r="E26" s="167">
        <v>100.02</v>
      </c>
      <c r="F26" s="165">
        <v>99.999999999999986</v>
      </c>
      <c r="G26" s="167">
        <v>100</v>
      </c>
      <c r="H26" s="166">
        <v>100</v>
      </c>
    </row>
    <row r="27" spans="1:8" s="125" customFormat="1" ht="14.25" customHeight="1" x14ac:dyDescent="0.25">
      <c r="A27" s="636" t="s">
        <v>200</v>
      </c>
      <c r="B27" s="637"/>
      <c r="C27" s="637"/>
      <c r="D27" s="637"/>
      <c r="E27" s="637"/>
      <c r="F27" s="637"/>
      <c r="G27" s="637"/>
      <c r="H27" s="638"/>
    </row>
    <row r="28" spans="1:8" s="125" customFormat="1" ht="24" customHeight="1" x14ac:dyDescent="0.2">
      <c r="A28" s="639" t="s">
        <v>201</v>
      </c>
      <c r="B28" s="640"/>
      <c r="C28" s="640"/>
      <c r="D28" s="640"/>
      <c r="E28" s="640"/>
      <c r="F28" s="640"/>
      <c r="G28" s="640"/>
      <c r="H28" s="641"/>
    </row>
    <row r="29" spans="1:8" s="125" customFormat="1" ht="13.5" customHeight="1" x14ac:dyDescent="0.2">
      <c r="A29" s="639" t="s">
        <v>123</v>
      </c>
      <c r="B29" s="640"/>
      <c r="C29" s="640"/>
      <c r="D29" s="640"/>
      <c r="E29" s="640"/>
      <c r="F29" s="640"/>
      <c r="G29" s="640"/>
      <c r="H29" s="641"/>
    </row>
    <row r="30" spans="1:8" s="125" customFormat="1" ht="28.35" customHeight="1" x14ac:dyDescent="0.2"/>
  </sheetData>
  <mergeCells count="10">
    <mergeCell ref="A27:H27"/>
    <mergeCell ref="A28:H28"/>
    <mergeCell ref="A29:H29"/>
    <mergeCell ref="A1:D1"/>
    <mergeCell ref="A2:H2"/>
    <mergeCell ref="A3:A4"/>
    <mergeCell ref="B3:B4"/>
    <mergeCell ref="C3:D3"/>
    <mergeCell ref="E3:F3"/>
    <mergeCell ref="G3:H3"/>
  </mergeCell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zoomScaleNormal="100" workbookViewId="0">
      <selection activeCell="C15" sqref="C15"/>
    </sheetView>
  </sheetViews>
  <sheetFormatPr defaultRowHeight="15" x14ac:dyDescent="0.25"/>
  <cols>
    <col min="1" max="6" width="14.7109375" style="123" bestFit="1" customWidth="1"/>
    <col min="7" max="7" width="4.7109375" style="123" bestFit="1" customWidth="1"/>
    <col min="8" max="16384" width="9.140625" style="123"/>
  </cols>
  <sheetData>
    <row r="1" spans="1:6" ht="15" customHeight="1" x14ac:dyDescent="0.25">
      <c r="A1" s="612" t="str">
        <f>'Data Summary'!$A$24</f>
        <v>Table 22:  Category-wise Share of Turnover in Cash Segment of BSE</v>
      </c>
      <c r="B1" s="612"/>
      <c r="C1" s="612"/>
      <c r="D1" s="612"/>
      <c r="E1" s="612"/>
      <c r="F1" s="612"/>
    </row>
    <row r="2" spans="1:6" ht="15" customHeight="1" x14ac:dyDescent="0.25">
      <c r="A2" s="642" t="s">
        <v>985</v>
      </c>
      <c r="B2" s="642"/>
      <c r="C2" s="642"/>
      <c r="D2" s="642"/>
      <c r="E2" s="642"/>
      <c r="F2" s="642"/>
    </row>
    <row r="3" spans="1:6" s="125" customFormat="1" ht="18" customHeight="1" x14ac:dyDescent="0.25">
      <c r="A3" s="581" t="s">
        <v>61</v>
      </c>
      <c r="B3" s="587" t="s">
        <v>202</v>
      </c>
      <c r="C3" s="631"/>
      <c r="D3" s="631"/>
      <c r="E3" s="631"/>
      <c r="F3" s="588"/>
    </row>
    <row r="4" spans="1:6" s="125" customFormat="1" ht="18" customHeight="1" x14ac:dyDescent="0.25">
      <c r="A4" s="583"/>
      <c r="B4" s="161" t="s">
        <v>203</v>
      </c>
      <c r="C4" s="161" t="s">
        <v>204</v>
      </c>
      <c r="D4" s="161" t="s">
        <v>33</v>
      </c>
      <c r="E4" s="161" t="s">
        <v>205</v>
      </c>
      <c r="F4" s="161" t="s">
        <v>199</v>
      </c>
    </row>
    <row r="5" spans="1:6" s="125" customFormat="1" ht="18" customHeight="1" x14ac:dyDescent="0.25">
      <c r="A5" s="209" t="s">
        <v>5</v>
      </c>
      <c r="B5" s="164">
        <v>22.352499999999999</v>
      </c>
      <c r="C5" s="164">
        <v>12.430833333000001</v>
      </c>
      <c r="D5" s="164">
        <v>7.94</v>
      </c>
      <c r="E5" s="164">
        <v>5.1666666999999999E-2</v>
      </c>
      <c r="F5" s="164">
        <v>57.224166666999999</v>
      </c>
    </row>
    <row r="6" spans="1:6" s="125" customFormat="1" ht="18" customHeight="1" x14ac:dyDescent="0.25">
      <c r="A6" s="209" t="s">
        <v>6</v>
      </c>
      <c r="B6" s="164">
        <v>26.869999999999997</v>
      </c>
      <c r="C6" s="164">
        <v>6.77</v>
      </c>
      <c r="D6" s="164">
        <v>6.2549999999999999</v>
      </c>
      <c r="E6" s="164">
        <v>6.5000000000000002E-2</v>
      </c>
      <c r="F6" s="164">
        <v>60.034999999999997</v>
      </c>
    </row>
    <row r="7" spans="1:6" s="125" customFormat="1" ht="18" customHeight="1" x14ac:dyDescent="0.25">
      <c r="A7" s="157" t="s">
        <v>70</v>
      </c>
      <c r="B7" s="164">
        <v>22.47</v>
      </c>
      <c r="C7" s="164">
        <v>7.12</v>
      </c>
      <c r="D7" s="164">
        <v>6.77</v>
      </c>
      <c r="E7" s="164">
        <v>0.04</v>
      </c>
      <c r="F7" s="164">
        <v>63.59</v>
      </c>
    </row>
    <row r="8" spans="1:6" s="125" customFormat="1" ht="18" customHeight="1" x14ac:dyDescent="0.25">
      <c r="A8" s="210">
        <v>43586</v>
      </c>
      <c r="B8" s="164">
        <v>31.27</v>
      </c>
      <c r="C8" s="164">
        <v>6.42</v>
      </c>
      <c r="D8" s="164">
        <v>5.74</v>
      </c>
      <c r="E8" s="164">
        <v>0.09</v>
      </c>
      <c r="F8" s="164">
        <v>56.48</v>
      </c>
    </row>
    <row r="9" spans="1:6" s="125" customFormat="1" ht="15" customHeight="1" x14ac:dyDescent="0.2">
      <c r="A9" s="575" t="s">
        <v>846</v>
      </c>
      <c r="B9" s="575"/>
      <c r="C9" s="575"/>
      <c r="D9" s="575"/>
      <c r="E9" s="575"/>
    </row>
    <row r="10" spans="1:6" s="125" customFormat="1" ht="13.5" customHeight="1" x14ac:dyDescent="0.2">
      <c r="A10" s="575" t="s">
        <v>206</v>
      </c>
      <c r="B10" s="575"/>
      <c r="C10" s="575"/>
      <c r="D10" s="575"/>
      <c r="E10" s="575"/>
    </row>
    <row r="11" spans="1:6" s="125" customFormat="1" ht="28.35" customHeight="1" x14ac:dyDescent="0.2"/>
  </sheetData>
  <mergeCells count="6">
    <mergeCell ref="A1:F1"/>
    <mergeCell ref="A3:A4"/>
    <mergeCell ref="B3:F3"/>
    <mergeCell ref="A9:E9"/>
    <mergeCell ref="A10:E10"/>
    <mergeCell ref="A2:F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zoomScaleNormal="100" workbookViewId="0">
      <selection activeCell="B6" sqref="B6"/>
    </sheetView>
  </sheetViews>
  <sheetFormatPr defaultRowHeight="15" x14ac:dyDescent="0.25"/>
  <cols>
    <col min="1" max="6" width="14.7109375" style="123" bestFit="1" customWidth="1"/>
    <col min="7" max="7" width="4.7109375" style="123" bestFit="1" customWidth="1"/>
    <col min="8" max="16384" width="9.140625" style="123"/>
  </cols>
  <sheetData>
    <row r="1" spans="1:6" ht="18" customHeight="1" x14ac:dyDescent="0.25">
      <c r="A1" s="612" t="str">
        <f>'Data Summary'!$A$25</f>
        <v>Table 23:  Category-wise Share of Turnover in Cash Segment of NSE</v>
      </c>
      <c r="B1" s="612"/>
      <c r="C1" s="612"/>
      <c r="D1" s="612"/>
      <c r="E1" s="612"/>
      <c r="F1" s="612"/>
    </row>
    <row r="2" spans="1:6" ht="15" customHeight="1" x14ac:dyDescent="0.25">
      <c r="A2" s="642" t="s">
        <v>985</v>
      </c>
      <c r="B2" s="642"/>
      <c r="C2" s="642"/>
      <c r="D2" s="642"/>
      <c r="E2" s="642"/>
      <c r="F2" s="642"/>
    </row>
    <row r="3" spans="1:6" s="125" customFormat="1" ht="18" customHeight="1" x14ac:dyDescent="0.25">
      <c r="A3" s="581" t="s">
        <v>207</v>
      </c>
      <c r="B3" s="587" t="s">
        <v>202</v>
      </c>
      <c r="C3" s="631"/>
      <c r="D3" s="631"/>
      <c r="E3" s="631"/>
      <c r="F3" s="588"/>
    </row>
    <row r="4" spans="1:6" s="125" customFormat="1" ht="18" customHeight="1" x14ac:dyDescent="0.25">
      <c r="A4" s="583"/>
      <c r="B4" s="161" t="s">
        <v>203</v>
      </c>
      <c r="C4" s="161" t="s">
        <v>204</v>
      </c>
      <c r="D4" s="161" t="s">
        <v>33</v>
      </c>
      <c r="E4" s="161" t="s">
        <v>205</v>
      </c>
      <c r="F4" s="161" t="s">
        <v>199</v>
      </c>
    </row>
    <row r="5" spans="1:6" s="125" customFormat="1" ht="18" customHeight="1" x14ac:dyDescent="0.25">
      <c r="A5" s="209" t="s">
        <v>5</v>
      </c>
      <c r="B5" s="164">
        <v>21.53</v>
      </c>
      <c r="C5" s="164">
        <v>15.1</v>
      </c>
      <c r="D5" s="164">
        <v>7.49</v>
      </c>
      <c r="E5" s="164">
        <v>0.22</v>
      </c>
      <c r="F5" s="164">
        <v>55.66</v>
      </c>
    </row>
    <row r="6" spans="1:6" s="125" customFormat="1" ht="18" customHeight="1" x14ac:dyDescent="0.25">
      <c r="A6" s="209" t="s">
        <v>6</v>
      </c>
      <c r="B6" s="164">
        <v>22.744999999999997</v>
      </c>
      <c r="C6" s="164">
        <v>15.239999999999998</v>
      </c>
      <c r="D6" s="164">
        <v>6.7350000000000003</v>
      </c>
      <c r="E6" s="164">
        <v>0.15</v>
      </c>
      <c r="F6" s="164">
        <v>55.13</v>
      </c>
    </row>
    <row r="7" spans="1:6" s="125" customFormat="1" ht="18" customHeight="1" x14ac:dyDescent="0.25">
      <c r="A7" s="157" t="s">
        <v>70</v>
      </c>
      <c r="B7" s="164">
        <v>22.66</v>
      </c>
      <c r="C7" s="164">
        <v>14.33</v>
      </c>
      <c r="D7" s="164">
        <v>6.69</v>
      </c>
      <c r="E7" s="164">
        <v>0.15</v>
      </c>
      <c r="F7" s="164">
        <v>56.17</v>
      </c>
    </row>
    <row r="8" spans="1:6" s="125" customFormat="1" ht="18" customHeight="1" x14ac:dyDescent="0.25">
      <c r="A8" s="210">
        <v>43586</v>
      </c>
      <c r="B8" s="164">
        <v>22.83</v>
      </c>
      <c r="C8" s="164">
        <v>16.149999999999999</v>
      </c>
      <c r="D8" s="164">
        <v>6.78</v>
      </c>
      <c r="E8" s="164">
        <v>0.15</v>
      </c>
      <c r="F8" s="164">
        <v>54.09</v>
      </c>
    </row>
    <row r="9" spans="1:6" s="125" customFormat="1" ht="15" customHeight="1" x14ac:dyDescent="0.2">
      <c r="A9" s="575" t="s">
        <v>846</v>
      </c>
      <c r="B9" s="575"/>
      <c r="C9" s="575"/>
      <c r="D9" s="575"/>
      <c r="E9" s="575"/>
      <c r="F9" s="575"/>
    </row>
    <row r="10" spans="1:6" s="125" customFormat="1" ht="13.5" customHeight="1" x14ac:dyDescent="0.2">
      <c r="A10" s="575" t="s">
        <v>208</v>
      </c>
      <c r="B10" s="575"/>
      <c r="C10" s="575"/>
      <c r="D10" s="575"/>
      <c r="E10" s="575"/>
      <c r="F10" s="575"/>
    </row>
    <row r="11" spans="1:6" s="125" customFormat="1" ht="25.35" customHeight="1" x14ac:dyDescent="0.2"/>
  </sheetData>
  <mergeCells count="6">
    <mergeCell ref="A1:F1"/>
    <mergeCell ref="A3:A4"/>
    <mergeCell ref="B3:F3"/>
    <mergeCell ref="A9:F9"/>
    <mergeCell ref="A10:F10"/>
    <mergeCell ref="A2:F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zoomScaleNormal="100" workbookViewId="0">
      <selection activeCell="C11" sqref="C11"/>
    </sheetView>
  </sheetViews>
  <sheetFormatPr defaultRowHeight="15" x14ac:dyDescent="0.25"/>
  <cols>
    <col min="1" max="6" width="14.7109375" style="123" bestFit="1" customWidth="1"/>
    <col min="7" max="7" width="4.7109375" style="123" bestFit="1" customWidth="1"/>
    <col min="8" max="16384" width="9.140625" style="123"/>
  </cols>
  <sheetData>
    <row r="1" spans="1:6" ht="21" customHeight="1" x14ac:dyDescent="0.25">
      <c r="A1" s="151" t="str">
        <f>'Data Summary'!$A$26</f>
        <v>Table 24:  Category-wise Share of Turnover in Cash Segment of MSEI</v>
      </c>
      <c r="B1" s="151"/>
      <c r="C1" s="151"/>
      <c r="D1" s="151"/>
    </row>
    <row r="2" spans="1:6" ht="15" customHeight="1" x14ac:dyDescent="0.25">
      <c r="A2" s="642" t="s">
        <v>985</v>
      </c>
      <c r="B2" s="642"/>
      <c r="C2" s="642"/>
      <c r="D2" s="642"/>
      <c r="E2" s="642"/>
      <c r="F2" s="642"/>
    </row>
    <row r="3" spans="1:6" s="125" customFormat="1" ht="18.75" customHeight="1" x14ac:dyDescent="0.2">
      <c r="A3" s="581" t="s">
        <v>61</v>
      </c>
      <c r="B3" s="618" t="s">
        <v>202</v>
      </c>
      <c r="C3" s="619"/>
      <c r="D3" s="619"/>
      <c r="E3" s="619"/>
      <c r="F3" s="620"/>
    </row>
    <row r="4" spans="1:6" s="125" customFormat="1" ht="18" customHeight="1" x14ac:dyDescent="0.2">
      <c r="A4" s="583"/>
      <c r="B4" s="152" t="s">
        <v>203</v>
      </c>
      <c r="C4" s="152" t="s">
        <v>204</v>
      </c>
      <c r="D4" s="152" t="s">
        <v>33</v>
      </c>
      <c r="E4" s="152" t="s">
        <v>205</v>
      </c>
      <c r="F4" s="152" t="s">
        <v>199</v>
      </c>
    </row>
    <row r="5" spans="1:6" s="125" customFormat="1" ht="18" customHeight="1" x14ac:dyDescent="0.2">
      <c r="A5" s="209" t="s">
        <v>5</v>
      </c>
      <c r="B5" s="202">
        <v>0</v>
      </c>
      <c r="C5" s="202">
        <v>0</v>
      </c>
      <c r="D5" s="202">
        <v>0</v>
      </c>
      <c r="E5" s="202">
        <v>0</v>
      </c>
      <c r="F5" s="202">
        <v>100</v>
      </c>
    </row>
    <row r="6" spans="1:6" s="125" customFormat="1" ht="18" customHeight="1" x14ac:dyDescent="0.2">
      <c r="A6" s="209" t="s">
        <v>6</v>
      </c>
      <c r="B6" s="202">
        <v>0</v>
      </c>
      <c r="C6" s="202">
        <v>0</v>
      </c>
      <c r="D6" s="202">
        <v>0</v>
      </c>
      <c r="E6" s="202">
        <v>0</v>
      </c>
      <c r="F6" s="202">
        <v>100</v>
      </c>
    </row>
    <row r="7" spans="1:6" s="125" customFormat="1" ht="18" customHeight="1" x14ac:dyDescent="0.2">
      <c r="A7" s="157" t="s">
        <v>70</v>
      </c>
      <c r="B7" s="202">
        <v>0</v>
      </c>
      <c r="C7" s="202">
        <v>0</v>
      </c>
      <c r="D7" s="202">
        <v>0</v>
      </c>
      <c r="E7" s="202">
        <v>0</v>
      </c>
      <c r="F7" s="202">
        <v>100</v>
      </c>
    </row>
    <row r="8" spans="1:6" s="125" customFormat="1" ht="18" customHeight="1" x14ac:dyDescent="0.2">
      <c r="A8" s="210">
        <v>43586</v>
      </c>
      <c r="B8" s="202">
        <v>0</v>
      </c>
      <c r="C8" s="202">
        <v>0</v>
      </c>
      <c r="D8" s="202">
        <v>0</v>
      </c>
      <c r="E8" s="202">
        <v>0</v>
      </c>
      <c r="F8" s="202">
        <v>100</v>
      </c>
    </row>
    <row r="9" spans="1:6" s="125" customFormat="1" ht="18" customHeight="1" x14ac:dyDescent="0.2">
      <c r="A9" s="643" t="str">
        <f>'12'!$A$8</f>
        <v>$ indicatesas on May 31, 2019</v>
      </c>
      <c r="B9" s="644"/>
      <c r="C9" s="644"/>
      <c r="D9" s="644"/>
      <c r="E9" s="644"/>
      <c r="F9" s="645"/>
    </row>
    <row r="10" spans="1:6" s="125" customFormat="1" ht="18" customHeight="1" x14ac:dyDescent="0.2">
      <c r="A10" s="643" t="s">
        <v>209</v>
      </c>
      <c r="B10" s="644"/>
      <c r="C10" s="644"/>
      <c r="D10" s="644"/>
      <c r="E10" s="644"/>
      <c r="F10" s="645"/>
    </row>
    <row r="11" spans="1:6" s="125" customFormat="1" ht="28.35" customHeight="1" x14ac:dyDescent="0.2"/>
  </sheetData>
  <mergeCells count="5">
    <mergeCell ref="A3:A4"/>
    <mergeCell ref="B3:F3"/>
    <mergeCell ref="A9:F9"/>
    <mergeCell ref="A10:F10"/>
    <mergeCell ref="A2:F2"/>
  </mergeCell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22" zoomScaleNormal="100" workbookViewId="0">
      <selection activeCell="A34" sqref="A34:J38"/>
    </sheetView>
  </sheetViews>
  <sheetFormatPr defaultRowHeight="15" x14ac:dyDescent="0.25"/>
  <cols>
    <col min="1" max="1" width="6.42578125" style="123" bestFit="1" customWidth="1"/>
    <col min="2" max="2" width="20.7109375" style="123" bestFit="1" customWidth="1"/>
    <col min="3" max="3" width="10" style="123" bestFit="1" customWidth="1"/>
    <col min="4" max="4" width="13.85546875" style="123" bestFit="1" customWidth="1"/>
    <col min="5" max="5" width="7.7109375" style="123" bestFit="1" customWidth="1"/>
    <col min="6" max="7" width="6" style="123" bestFit="1" customWidth="1"/>
    <col min="8" max="8" width="9.7109375" style="123" bestFit="1" customWidth="1"/>
    <col min="9" max="9" width="10.7109375" style="123" bestFit="1" customWidth="1"/>
    <col min="10" max="10" width="10" style="123" bestFit="1" customWidth="1"/>
    <col min="11" max="11" width="35.140625" style="123" bestFit="1" customWidth="1"/>
    <col min="12" max="12" width="4.7109375" style="123" bestFit="1" customWidth="1"/>
    <col min="13" max="16384" width="9.140625" style="123"/>
  </cols>
  <sheetData>
    <row r="1" spans="1:11" ht="15.75" customHeight="1" x14ac:dyDescent="0.25">
      <c r="A1" s="576" t="str">
        <f>'Data Summary'!$A$27</f>
        <v>Table 25:  Component Stocks: S&amp;P BSE Sensex during May 2019</v>
      </c>
      <c r="B1" s="576"/>
      <c r="C1" s="576"/>
      <c r="D1" s="576"/>
      <c r="E1" s="576"/>
      <c r="F1" s="576"/>
      <c r="G1" s="576"/>
      <c r="H1" s="576"/>
      <c r="I1" s="576"/>
      <c r="J1" s="576"/>
      <c r="K1" s="576"/>
    </row>
    <row r="2" spans="1:11" s="125" customFormat="1" ht="58.5" customHeight="1" x14ac:dyDescent="0.2">
      <c r="A2" s="168" t="s">
        <v>928</v>
      </c>
      <c r="B2" s="168" t="s">
        <v>210</v>
      </c>
      <c r="C2" s="479" t="s">
        <v>943</v>
      </c>
      <c r="D2" s="479" t="s">
        <v>944</v>
      </c>
      <c r="E2" s="168" t="s">
        <v>277</v>
      </c>
      <c r="F2" s="169" t="s">
        <v>211</v>
      </c>
      <c r="G2" s="168" t="s">
        <v>976</v>
      </c>
      <c r="H2" s="168" t="s">
        <v>278</v>
      </c>
      <c r="I2" s="170" t="s">
        <v>279</v>
      </c>
      <c r="J2" s="168" t="s">
        <v>945</v>
      </c>
    </row>
    <row r="3" spans="1:11" s="125" customFormat="1" ht="15" customHeight="1" x14ac:dyDescent="0.25">
      <c r="A3" s="480">
        <v>1</v>
      </c>
      <c r="B3" s="481" t="s">
        <v>946</v>
      </c>
      <c r="C3" s="478">
        <v>344.4</v>
      </c>
      <c r="D3" s="478">
        <v>374847.62322000001</v>
      </c>
      <c r="E3" s="482">
        <v>9.2784640929771864</v>
      </c>
      <c r="F3" s="483">
        <v>1.23</v>
      </c>
      <c r="G3" s="483">
        <v>0.47080699999999998</v>
      </c>
      <c r="H3" s="483">
        <v>1.48</v>
      </c>
      <c r="I3" s="483">
        <v>9.3615309999999994</v>
      </c>
      <c r="J3" s="484">
        <v>0.03</v>
      </c>
    </row>
    <row r="4" spans="1:11" s="125" customFormat="1" ht="15" customHeight="1" x14ac:dyDescent="0.25">
      <c r="A4" s="480">
        <v>2</v>
      </c>
      <c r="B4" s="481" t="s">
        <v>947</v>
      </c>
      <c r="C4" s="478">
        <v>115.59</v>
      </c>
      <c r="D4" s="478">
        <v>82008.434380999999</v>
      </c>
      <c r="E4" s="482">
        <v>2.029924338826075</v>
      </c>
      <c r="F4" s="483">
        <v>1.34</v>
      </c>
      <c r="G4" s="483">
        <v>0.260745</v>
      </c>
      <c r="H4" s="483">
        <v>2.16</v>
      </c>
      <c r="I4" s="483">
        <v>12.133796</v>
      </c>
      <c r="J4" s="484">
        <v>0.05</v>
      </c>
    </row>
    <row r="5" spans="1:11" s="125" customFormat="1" ht="15" customHeight="1" x14ac:dyDescent="0.25">
      <c r="A5" s="480">
        <v>3</v>
      </c>
      <c r="B5" s="481" t="s">
        <v>948</v>
      </c>
      <c r="C5" s="478">
        <v>892.46</v>
      </c>
      <c r="D5" s="478">
        <v>132147.26697500001</v>
      </c>
      <c r="E5" s="482">
        <v>3.2709922530120705</v>
      </c>
      <c r="F5" s="483">
        <v>1.44</v>
      </c>
      <c r="G5" s="483">
        <v>0.40973799999999999</v>
      </c>
      <c r="H5" s="483">
        <v>1.85</v>
      </c>
      <c r="I5" s="483">
        <v>13.652481999999999</v>
      </c>
      <c r="J5" s="484">
        <v>0.03</v>
      </c>
    </row>
    <row r="6" spans="1:11" s="125" customFormat="1" ht="15" customHeight="1" x14ac:dyDescent="0.25">
      <c r="A6" s="480">
        <v>4</v>
      </c>
      <c r="B6" s="481" t="s">
        <v>949</v>
      </c>
      <c r="C6" s="478">
        <v>545.01</v>
      </c>
      <c r="D6" s="478">
        <v>520521.52651</v>
      </c>
      <c r="E6" s="482">
        <v>12.884276154287276</v>
      </c>
      <c r="F6" s="483">
        <v>0.71</v>
      </c>
      <c r="G6" s="483">
        <v>0.34889100000000001</v>
      </c>
      <c r="H6" s="483">
        <v>1</v>
      </c>
      <c r="I6" s="483">
        <v>4.7246810000000004</v>
      </c>
      <c r="J6" s="484">
        <v>0.06</v>
      </c>
    </row>
    <row r="7" spans="1:11" s="125" customFormat="1" ht="15" customHeight="1" x14ac:dyDescent="0.25">
      <c r="A7" s="480">
        <v>5</v>
      </c>
      <c r="B7" s="481" t="s">
        <v>950</v>
      </c>
      <c r="C7" s="478">
        <v>39.950000000000003</v>
      </c>
      <c r="D7" s="478">
        <v>34805.389826999999</v>
      </c>
      <c r="E7" s="482">
        <v>0.86152489637731389</v>
      </c>
      <c r="F7" s="483">
        <v>0.97</v>
      </c>
      <c r="G7" s="483">
        <v>0.198767</v>
      </c>
      <c r="H7" s="483">
        <v>1.79</v>
      </c>
      <c r="I7" s="483">
        <v>6.7160159999999998</v>
      </c>
      <c r="J7" s="484">
        <v>7.0000000000000007E-2</v>
      </c>
    </row>
    <row r="8" spans="1:11" s="125" customFormat="1" ht="15" customHeight="1" x14ac:dyDescent="0.25">
      <c r="A8" s="480">
        <v>6</v>
      </c>
      <c r="B8" s="481" t="s">
        <v>951</v>
      </c>
      <c r="C8" s="478">
        <v>2184.4699999999998</v>
      </c>
      <c r="D8" s="478">
        <v>280029.27754500002</v>
      </c>
      <c r="E8" s="482">
        <v>6.9314607742856191</v>
      </c>
      <c r="F8" s="483">
        <v>0.73</v>
      </c>
      <c r="G8" s="483">
        <v>1.7743999999999999E-2</v>
      </c>
      <c r="H8" s="483">
        <v>4.51</v>
      </c>
      <c r="I8" s="483">
        <v>-1.746783</v>
      </c>
      <c r="J8" s="484">
        <v>0.03</v>
      </c>
    </row>
    <row r="9" spans="1:11" s="125" customFormat="1" ht="15" customHeight="1" x14ac:dyDescent="0.25">
      <c r="A9" s="480">
        <v>7</v>
      </c>
      <c r="B9" s="481" t="s">
        <v>215</v>
      </c>
      <c r="C9" s="478">
        <v>954.46</v>
      </c>
      <c r="D9" s="478">
        <v>179356.936177</v>
      </c>
      <c r="E9" s="482">
        <v>4.4395556729140395</v>
      </c>
      <c r="F9" s="483">
        <v>0.92</v>
      </c>
      <c r="G9" s="483">
        <v>0.25047599999999998</v>
      </c>
      <c r="H9" s="483">
        <v>1.52</v>
      </c>
      <c r="I9" s="483">
        <v>9.5634619999999995</v>
      </c>
      <c r="J9" s="484">
        <v>0.06</v>
      </c>
    </row>
    <row r="10" spans="1:11" s="125" customFormat="1" ht="15" customHeight="1" x14ac:dyDescent="0.25">
      <c r="A10" s="480">
        <v>8</v>
      </c>
      <c r="B10" s="481" t="s">
        <v>952</v>
      </c>
      <c r="C10" s="478">
        <v>371.72</v>
      </c>
      <c r="D10" s="478">
        <v>29858.360805</v>
      </c>
      <c r="E10" s="482">
        <v>0.73907292308414563</v>
      </c>
      <c r="F10" s="483">
        <v>1.25</v>
      </c>
      <c r="G10" s="483">
        <v>0.161214</v>
      </c>
      <c r="H10" s="483">
        <v>2.57</v>
      </c>
      <c r="I10" s="483">
        <v>-3.7159119999999999</v>
      </c>
      <c r="J10" s="484">
        <v>7.0000000000000007E-2</v>
      </c>
    </row>
    <row r="11" spans="1:11" s="125" customFormat="1" ht="15" customHeight="1" x14ac:dyDescent="0.25">
      <c r="A11" s="480">
        <v>9</v>
      </c>
      <c r="B11" s="481" t="s">
        <v>953</v>
      </c>
      <c r="C11" s="478">
        <v>6416.62</v>
      </c>
      <c r="D11" s="478">
        <v>48518.611564999999</v>
      </c>
      <c r="E11" s="482">
        <v>1.2009631843997266</v>
      </c>
      <c r="F11" s="483">
        <v>0.97</v>
      </c>
      <c r="G11" s="483">
        <v>0.17363300000000001</v>
      </c>
      <c r="H11" s="483">
        <v>1.91</v>
      </c>
      <c r="I11" s="483">
        <v>1.506202</v>
      </c>
      <c r="J11" s="484">
        <v>0.08</v>
      </c>
    </row>
    <row r="12" spans="1:11" s="125" customFormat="1" ht="15" customHeight="1" x14ac:dyDescent="0.25">
      <c r="A12" s="480">
        <v>10</v>
      </c>
      <c r="B12" s="481" t="s">
        <v>954</v>
      </c>
      <c r="C12" s="478">
        <v>6339.04</v>
      </c>
      <c r="D12" s="478">
        <v>429491.052371</v>
      </c>
      <c r="E12" s="482">
        <v>10.631032613858885</v>
      </c>
      <c r="F12" s="483">
        <v>1.47</v>
      </c>
      <c r="G12" s="483">
        <v>0.46245900000000001</v>
      </c>
      <c r="H12" s="483">
        <v>1.78</v>
      </c>
      <c r="I12" s="483">
        <v>-4.4582550000000003</v>
      </c>
      <c r="J12" s="484">
        <v>0.03</v>
      </c>
    </row>
    <row r="13" spans="1:11" s="125" customFormat="1" ht="15" customHeight="1" x14ac:dyDescent="0.25">
      <c r="A13" s="480">
        <v>11</v>
      </c>
      <c r="B13" s="481" t="s">
        <v>955</v>
      </c>
      <c r="C13" s="478">
        <v>1145.9000000000001</v>
      </c>
      <c r="D13" s="478">
        <v>37377.732114999999</v>
      </c>
      <c r="E13" s="482">
        <v>0.92519713030807804</v>
      </c>
      <c r="F13" s="483">
        <v>1.18</v>
      </c>
      <c r="G13" s="483">
        <v>0.241728</v>
      </c>
      <c r="H13" s="483">
        <v>1.98</v>
      </c>
      <c r="I13" s="483">
        <v>-12.319165999999999</v>
      </c>
      <c r="J13" s="484">
        <v>0.04</v>
      </c>
    </row>
    <row r="14" spans="1:11" s="125" customFormat="1" ht="15" customHeight="1" x14ac:dyDescent="0.25">
      <c r="A14" s="480">
        <v>12</v>
      </c>
      <c r="B14" s="481" t="s">
        <v>214</v>
      </c>
      <c r="C14" s="478">
        <v>280.56</v>
      </c>
      <c r="D14" s="478">
        <v>189832.315741</v>
      </c>
      <c r="E14" s="482">
        <v>4.6988488553276211</v>
      </c>
      <c r="F14" s="483">
        <v>0.99</v>
      </c>
      <c r="G14" s="483">
        <v>0.33899800000000002</v>
      </c>
      <c r="H14" s="483">
        <v>1.4</v>
      </c>
      <c r="I14" s="483">
        <v>15.596363999999999</v>
      </c>
      <c r="J14" s="484">
        <v>0.11</v>
      </c>
    </row>
    <row r="15" spans="1:11" s="125" customFormat="1" ht="15" customHeight="1" x14ac:dyDescent="0.25">
      <c r="A15" s="480">
        <v>13</v>
      </c>
      <c r="B15" s="481" t="s">
        <v>956</v>
      </c>
      <c r="C15" s="478">
        <v>621.6</v>
      </c>
      <c r="D15" s="478">
        <v>60286.294979999999</v>
      </c>
      <c r="E15" s="482">
        <v>1.492244284398909</v>
      </c>
      <c r="F15" s="483">
        <v>1.24</v>
      </c>
      <c r="G15" s="483">
        <v>0.36077100000000001</v>
      </c>
      <c r="H15" s="483">
        <v>1.71</v>
      </c>
      <c r="I15" s="483">
        <v>0.255635</v>
      </c>
      <c r="J15" s="484">
        <v>0.05</v>
      </c>
    </row>
    <row r="16" spans="1:11" s="125" customFormat="1" ht="15" customHeight="1" x14ac:dyDescent="0.25">
      <c r="A16" s="480">
        <v>14</v>
      </c>
      <c r="B16" s="481" t="s">
        <v>957</v>
      </c>
      <c r="C16" s="478">
        <v>577.47</v>
      </c>
      <c r="D16" s="478">
        <v>31378.254389999998</v>
      </c>
      <c r="E16" s="482">
        <v>0.77669428488558412</v>
      </c>
      <c r="F16" s="483">
        <v>1.7</v>
      </c>
      <c r="G16" s="483">
        <v>0.23857400000000001</v>
      </c>
      <c r="H16" s="483">
        <v>2.87</v>
      </c>
      <c r="I16" s="483">
        <v>-19.467787000000001</v>
      </c>
      <c r="J16" s="484">
        <v>0.1</v>
      </c>
    </row>
    <row r="17" spans="1:10" s="125" customFormat="1" ht="15" customHeight="1" x14ac:dyDescent="0.25">
      <c r="A17" s="480">
        <v>15</v>
      </c>
      <c r="B17" s="481" t="s">
        <v>958</v>
      </c>
      <c r="C17" s="478">
        <v>216.48</v>
      </c>
      <c r="D17" s="478">
        <v>127508.52492700001</v>
      </c>
      <c r="E17" s="482">
        <v>3.1561711927657021</v>
      </c>
      <c r="F17" s="483">
        <v>0.69</v>
      </c>
      <c r="G17" s="483">
        <v>0.19645399999999999</v>
      </c>
      <c r="H17" s="483">
        <v>1.29</v>
      </c>
      <c r="I17" s="483">
        <v>1.778842</v>
      </c>
      <c r="J17" s="484">
        <v>0.04</v>
      </c>
    </row>
    <row r="18" spans="1:10" s="125" customFormat="1" ht="15" customHeight="1" x14ac:dyDescent="0.25">
      <c r="A18" s="480">
        <v>16</v>
      </c>
      <c r="B18" s="481" t="s">
        <v>218</v>
      </c>
      <c r="C18" s="478">
        <v>95.92</v>
      </c>
      <c r="D18" s="478">
        <v>63417.279849999999</v>
      </c>
      <c r="E18" s="482">
        <v>1.5697443908218858</v>
      </c>
      <c r="F18" s="483">
        <v>0.95</v>
      </c>
      <c r="G18" s="483">
        <v>0.29202699999999998</v>
      </c>
      <c r="H18" s="483">
        <v>1.45</v>
      </c>
      <c r="I18" s="483">
        <v>-3.8482569999999998</v>
      </c>
      <c r="J18" s="484">
        <v>0.05</v>
      </c>
    </row>
    <row r="19" spans="1:10" s="125" customFormat="1" ht="15" customHeight="1" x14ac:dyDescent="0.25">
      <c r="A19" s="480">
        <v>17</v>
      </c>
      <c r="B19" s="481" t="s">
        <v>959</v>
      </c>
      <c r="C19" s="478">
        <v>1225.8599999999999</v>
      </c>
      <c r="D19" s="478">
        <v>237499.338605</v>
      </c>
      <c r="E19" s="482">
        <v>5.8787329806783957</v>
      </c>
      <c r="F19" s="483">
        <v>0.89</v>
      </c>
      <c r="G19" s="483">
        <v>0.31881100000000001</v>
      </c>
      <c r="H19" s="483">
        <v>1.3</v>
      </c>
      <c r="I19" s="483">
        <v>-7.5940969999999997</v>
      </c>
      <c r="J19" s="484">
        <v>0.05</v>
      </c>
    </row>
    <row r="20" spans="1:10" s="125" customFormat="1" ht="15" customHeight="1" x14ac:dyDescent="0.25">
      <c r="A20" s="480">
        <v>18</v>
      </c>
      <c r="B20" s="481" t="s">
        <v>960</v>
      </c>
      <c r="C20" s="478">
        <v>239.93</v>
      </c>
      <c r="D20" s="478">
        <v>44212.105665000003</v>
      </c>
      <c r="E20" s="482">
        <v>1.0943658422154521</v>
      </c>
      <c r="F20" s="483">
        <v>0.79</v>
      </c>
      <c r="G20" s="483">
        <v>8.2142999999999994E-2</v>
      </c>
      <c r="H20" s="483">
        <v>2.29</v>
      </c>
      <c r="I20" s="483">
        <v>-10.384067999999999</v>
      </c>
      <c r="J20" s="484">
        <v>0.08</v>
      </c>
    </row>
    <row r="21" spans="1:10" s="125" customFormat="1" ht="15" customHeight="1" x14ac:dyDescent="0.25">
      <c r="A21" s="480">
        <v>19</v>
      </c>
      <c r="B21" s="481" t="s">
        <v>961</v>
      </c>
      <c r="C21" s="478">
        <v>1289.9000000000001</v>
      </c>
      <c r="D21" s="478">
        <v>271592.25870000001</v>
      </c>
      <c r="E21" s="482">
        <v>6.7226223782124501</v>
      </c>
      <c r="F21" s="483">
        <v>1.36</v>
      </c>
      <c r="G21" s="483">
        <v>0.36697600000000002</v>
      </c>
      <c r="H21" s="483">
        <v>1.86</v>
      </c>
      <c r="I21" s="483">
        <v>3.838136</v>
      </c>
      <c r="J21" s="484">
        <v>7.0000000000000007E-2</v>
      </c>
    </row>
    <row r="22" spans="1:10" s="125" customFormat="1" ht="15" customHeight="1" x14ac:dyDescent="0.25">
      <c r="A22" s="480">
        <v>20</v>
      </c>
      <c r="B22" s="481" t="s">
        <v>216</v>
      </c>
      <c r="C22" s="478">
        <v>602.97</v>
      </c>
      <c r="D22" s="478">
        <v>80689.432151999994</v>
      </c>
      <c r="E22" s="482">
        <v>1.9972755661989359</v>
      </c>
      <c r="F22" s="483">
        <v>1.18</v>
      </c>
      <c r="G22" s="483">
        <v>0.25781999999999999</v>
      </c>
      <c r="H22" s="483">
        <v>1.92</v>
      </c>
      <c r="I22" s="483">
        <v>-0.199042</v>
      </c>
      <c r="J22" s="484">
        <v>0.04</v>
      </c>
    </row>
    <row r="23" spans="1:10" s="125" customFormat="1" ht="15" customHeight="1" x14ac:dyDescent="0.25">
      <c r="A23" s="480">
        <v>21</v>
      </c>
      <c r="B23" s="481" t="s">
        <v>962</v>
      </c>
      <c r="C23" s="478">
        <v>514.6</v>
      </c>
      <c r="D23" s="478">
        <v>143029.89162000001</v>
      </c>
      <c r="E23" s="482">
        <v>3.5403658217667502</v>
      </c>
      <c r="F23" s="483">
        <v>1.1399999999999999</v>
      </c>
      <c r="G23" s="483">
        <v>0.30785699999999999</v>
      </c>
      <c r="H23" s="483">
        <v>1.7</v>
      </c>
      <c r="I23" s="483">
        <v>5.424436</v>
      </c>
      <c r="J23" s="484">
        <v>0.05</v>
      </c>
    </row>
    <row r="24" spans="1:10" s="125" customFormat="1" ht="15" customHeight="1" x14ac:dyDescent="0.25">
      <c r="A24" s="480">
        <v>22</v>
      </c>
      <c r="B24" s="481" t="s">
        <v>963</v>
      </c>
      <c r="C24" s="478">
        <v>271.26</v>
      </c>
      <c r="D24" s="478">
        <v>60885.555119999997</v>
      </c>
      <c r="E24" s="482">
        <v>1.5070775482291006</v>
      </c>
      <c r="F24" s="483">
        <v>0.5</v>
      </c>
      <c r="G24" s="483">
        <v>6.6012000000000001E-2</v>
      </c>
      <c r="H24" s="483">
        <v>1.62</v>
      </c>
      <c r="I24" s="483">
        <v>-7.5928500000000003</v>
      </c>
      <c r="J24" s="484">
        <v>0.05</v>
      </c>
    </row>
    <row r="25" spans="1:10" s="125" customFormat="1" ht="15" customHeight="1" x14ac:dyDescent="0.25">
      <c r="A25" s="480">
        <v>23</v>
      </c>
      <c r="B25" s="481" t="s">
        <v>964</v>
      </c>
      <c r="C25" s="478">
        <v>2565.5</v>
      </c>
      <c r="D25" s="478">
        <v>59008.962512999999</v>
      </c>
      <c r="E25" s="482">
        <v>1.4606269479248355</v>
      </c>
      <c r="F25" s="483">
        <v>1.24</v>
      </c>
      <c r="G25" s="483">
        <v>0.191361</v>
      </c>
      <c r="H25" s="483">
        <v>2.34</v>
      </c>
      <c r="I25" s="483">
        <v>8.8382260000000006</v>
      </c>
      <c r="J25" s="484">
        <v>0.11</v>
      </c>
    </row>
    <row r="26" spans="1:10" s="125" customFormat="1" ht="15" customHeight="1" x14ac:dyDescent="0.25">
      <c r="A26" s="480">
        <v>24</v>
      </c>
      <c r="B26" s="481" t="s">
        <v>965</v>
      </c>
      <c r="C26" s="478">
        <v>151.04</v>
      </c>
      <c r="D26" s="478">
        <v>91228.341247999997</v>
      </c>
      <c r="E26" s="482">
        <v>2.258141271539146</v>
      </c>
      <c r="F26" s="483">
        <v>1.21</v>
      </c>
      <c r="G26" s="483">
        <v>0.33737400000000001</v>
      </c>
      <c r="H26" s="483">
        <v>1.72</v>
      </c>
      <c r="I26" s="483">
        <v>3.077928</v>
      </c>
      <c r="J26" s="484">
        <v>0.03</v>
      </c>
    </row>
    <row r="27" spans="1:10" s="125" customFormat="1" ht="15" customHeight="1" x14ac:dyDescent="0.25">
      <c r="A27" s="480">
        <v>25</v>
      </c>
      <c r="B27" s="481" t="s">
        <v>966</v>
      </c>
      <c r="C27" s="478">
        <v>375.24</v>
      </c>
      <c r="D27" s="478">
        <v>230815.95564299999</v>
      </c>
      <c r="E27" s="482">
        <v>5.7133016827556729</v>
      </c>
      <c r="F27" s="483">
        <v>0.53</v>
      </c>
      <c r="G27" s="483">
        <v>8.4638000000000005E-2</v>
      </c>
      <c r="H27" s="483">
        <v>1.5</v>
      </c>
      <c r="I27" s="483">
        <v>-2.5765530000000001</v>
      </c>
      <c r="J27" s="484">
        <v>0.03</v>
      </c>
    </row>
    <row r="28" spans="1:10" s="125" customFormat="1" ht="15" customHeight="1" x14ac:dyDescent="0.25">
      <c r="A28" s="480">
        <v>26</v>
      </c>
      <c r="B28" s="481" t="s">
        <v>967</v>
      </c>
      <c r="C28" s="478">
        <v>9894.56</v>
      </c>
      <c r="D28" s="478">
        <v>50082.294773000001</v>
      </c>
      <c r="E28" s="482">
        <v>1.2396684544867782</v>
      </c>
      <c r="F28" s="483">
        <v>0.56999999999999995</v>
      </c>
      <c r="G28" s="483">
        <v>7.2331999999999994E-2</v>
      </c>
      <c r="H28" s="483">
        <v>1.75</v>
      </c>
      <c r="I28" s="483">
        <v>-0.3367</v>
      </c>
      <c r="J28" s="484">
        <v>7.0000000000000007E-2</v>
      </c>
    </row>
    <row r="29" spans="1:10" s="125" customFormat="1" ht="15" customHeight="1" x14ac:dyDescent="0.25">
      <c r="A29" s="480">
        <v>27</v>
      </c>
      <c r="B29" s="481" t="s">
        <v>968</v>
      </c>
      <c r="C29" s="478">
        <v>463.37</v>
      </c>
      <c r="D29" s="478">
        <v>27364.275708000001</v>
      </c>
      <c r="E29" s="482">
        <v>0.67733776035707061</v>
      </c>
      <c r="F29" s="483">
        <v>1.21</v>
      </c>
      <c r="G29" s="483">
        <v>4.4333999999999998E-2</v>
      </c>
      <c r="H29" s="483">
        <v>4.75</v>
      </c>
      <c r="I29" s="483">
        <v>-11.934523</v>
      </c>
      <c r="J29" s="484">
        <v>0.08</v>
      </c>
    </row>
    <row r="30" spans="1:10" s="125" customFormat="1" ht="15" customHeight="1" x14ac:dyDescent="0.25">
      <c r="A30" s="480">
        <v>28</v>
      </c>
      <c r="B30" s="481" t="s">
        <v>969</v>
      </c>
      <c r="C30" s="478">
        <v>5231.59</v>
      </c>
      <c r="D30" s="478">
        <v>43540.430934000004</v>
      </c>
      <c r="E30" s="482">
        <v>1.0777401268908922</v>
      </c>
      <c r="F30" s="483">
        <v>0.63</v>
      </c>
      <c r="G30" s="483">
        <v>0.143482</v>
      </c>
      <c r="H30" s="483">
        <v>1.37</v>
      </c>
      <c r="I30" s="483">
        <v>1.52979</v>
      </c>
      <c r="J30" s="484">
        <v>0.09</v>
      </c>
    </row>
    <row r="31" spans="1:10" s="125" customFormat="1" ht="15" customHeight="1" x14ac:dyDescent="0.25">
      <c r="A31" s="480">
        <v>29</v>
      </c>
      <c r="B31" s="481" t="s">
        <v>970</v>
      </c>
      <c r="C31" s="478">
        <v>289.37</v>
      </c>
      <c r="D31" s="478">
        <v>39784.265873999997</v>
      </c>
      <c r="E31" s="482">
        <v>0.98476516726029317</v>
      </c>
      <c r="F31" s="483">
        <v>0.78</v>
      </c>
      <c r="G31" s="483">
        <v>0.16564699999999999</v>
      </c>
      <c r="H31" s="483">
        <v>1.58</v>
      </c>
      <c r="I31" s="483">
        <v>-2.2717779999999999</v>
      </c>
      <c r="J31" s="484">
        <v>0.06</v>
      </c>
    </row>
    <row r="32" spans="1:10" s="125" customFormat="1" ht="15" customHeight="1" x14ac:dyDescent="0.25">
      <c r="A32" s="480">
        <v>30</v>
      </c>
      <c r="B32" s="481" t="s">
        <v>971</v>
      </c>
      <c r="C32" s="478">
        <v>6207.41</v>
      </c>
      <c r="D32" s="478">
        <v>34598.235543000003</v>
      </c>
      <c r="E32" s="482">
        <v>0.85639728327071485</v>
      </c>
      <c r="F32" s="483">
        <v>0.4</v>
      </c>
      <c r="G32" s="483">
        <v>4.8953999999999998E-2</v>
      </c>
      <c r="H32" s="483">
        <v>1.48</v>
      </c>
      <c r="I32" s="485">
        <v>0.55566499999999996</v>
      </c>
      <c r="J32" s="484">
        <v>0.06</v>
      </c>
    </row>
    <row r="33" spans="1:10" s="125" customFormat="1" ht="24.75" customHeight="1" x14ac:dyDescent="0.25">
      <c r="A33" s="480">
        <v>31</v>
      </c>
      <c r="B33" s="481" t="s">
        <v>972</v>
      </c>
      <c r="C33" s="478">
        <v>101.7</v>
      </c>
      <c r="D33" s="478">
        <v>4258.7042499999998</v>
      </c>
      <c r="E33" s="482">
        <v>0.11</v>
      </c>
      <c r="F33" s="483">
        <v>1.57</v>
      </c>
      <c r="G33" s="483">
        <v>0.24102799999999999</v>
      </c>
      <c r="H33" s="483">
        <v>2.64</v>
      </c>
      <c r="I33" s="483">
        <v>-18.052800000000001</v>
      </c>
      <c r="J33" s="484">
        <v>0.15</v>
      </c>
    </row>
    <row r="34" spans="1:10" s="125" customFormat="1" x14ac:dyDescent="0.2">
      <c r="A34" s="646" t="s">
        <v>1024</v>
      </c>
      <c r="B34" s="646"/>
      <c r="C34" s="646"/>
      <c r="D34" s="646"/>
      <c r="E34" s="646"/>
      <c r="F34" s="646"/>
      <c r="G34" s="646"/>
      <c r="H34" s="646"/>
      <c r="I34" s="646"/>
      <c r="J34" s="646"/>
    </row>
    <row r="35" spans="1:10" s="125" customFormat="1" ht="24" customHeight="1" x14ac:dyDescent="0.2">
      <c r="A35" s="639" t="s">
        <v>221</v>
      </c>
      <c r="B35" s="640"/>
      <c r="C35" s="640"/>
      <c r="D35" s="640"/>
      <c r="E35" s="640"/>
      <c r="F35" s="640"/>
      <c r="G35" s="640"/>
      <c r="H35" s="640"/>
      <c r="I35" s="640"/>
      <c r="J35" s="641"/>
    </row>
    <row r="36" spans="1:10" s="125" customFormat="1" ht="13.5" customHeight="1" x14ac:dyDescent="0.2">
      <c r="A36" s="639" t="s">
        <v>222</v>
      </c>
      <c r="B36" s="640"/>
      <c r="C36" s="640"/>
      <c r="D36" s="640"/>
      <c r="E36" s="640"/>
      <c r="F36" s="640"/>
      <c r="G36" s="640"/>
      <c r="H36" s="640"/>
      <c r="I36" s="640"/>
      <c r="J36" s="641"/>
    </row>
    <row r="37" spans="1:10" s="125" customFormat="1" ht="24" customHeight="1" x14ac:dyDescent="0.2">
      <c r="A37" s="639" t="s">
        <v>223</v>
      </c>
      <c r="B37" s="640"/>
      <c r="C37" s="640"/>
      <c r="D37" s="640"/>
      <c r="E37" s="640"/>
      <c r="F37" s="640"/>
      <c r="G37" s="640"/>
      <c r="H37" s="640"/>
      <c r="I37" s="640"/>
      <c r="J37" s="641"/>
    </row>
    <row r="38" spans="1:10" s="125" customFormat="1" ht="13.5" customHeight="1" x14ac:dyDescent="0.2">
      <c r="A38" s="639" t="s">
        <v>224</v>
      </c>
      <c r="B38" s="640"/>
      <c r="C38" s="640"/>
      <c r="D38" s="640"/>
      <c r="E38" s="640"/>
      <c r="F38" s="640"/>
      <c r="G38" s="640"/>
      <c r="H38" s="640"/>
      <c r="I38" s="640"/>
      <c r="J38" s="641"/>
    </row>
    <row r="39" spans="1:10" s="125" customFormat="1" ht="13.5" customHeight="1" x14ac:dyDescent="0.2">
      <c r="A39" s="639" t="s">
        <v>225</v>
      </c>
      <c r="B39" s="640"/>
      <c r="C39" s="640"/>
      <c r="D39" s="640"/>
      <c r="E39" s="640"/>
      <c r="F39" s="640"/>
      <c r="G39" s="640"/>
      <c r="H39" s="640"/>
      <c r="I39" s="640"/>
      <c r="J39" s="641"/>
    </row>
    <row r="40" spans="1:10" s="125" customFormat="1" ht="27.6" customHeight="1" x14ac:dyDescent="0.2"/>
  </sheetData>
  <mergeCells count="7">
    <mergeCell ref="A39:J39"/>
    <mergeCell ref="A1:K1"/>
    <mergeCell ref="A35:J35"/>
    <mergeCell ref="A36:J36"/>
    <mergeCell ref="A37:J37"/>
    <mergeCell ref="A38:J38"/>
    <mergeCell ref="A34:J34"/>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opLeftCell="A49" zoomScaleNormal="100" workbookViewId="0">
      <selection activeCell="C62" sqref="C62"/>
    </sheetView>
  </sheetViews>
  <sheetFormatPr defaultRowHeight="15" x14ac:dyDescent="0.25"/>
  <cols>
    <col min="1" max="1" width="6.42578125" style="123" bestFit="1" customWidth="1"/>
    <col min="2" max="2" width="20.7109375" style="494" bestFit="1" customWidth="1"/>
    <col min="3" max="3" width="14.7109375" style="123" bestFit="1" customWidth="1"/>
    <col min="4" max="4" width="13.85546875" style="123" bestFit="1" customWidth="1"/>
    <col min="5" max="5" width="7.7109375" style="123" bestFit="1" customWidth="1"/>
    <col min="6" max="7" width="6" style="123" bestFit="1" customWidth="1"/>
    <col min="8" max="8" width="9.7109375" style="123" bestFit="1" customWidth="1"/>
    <col min="9" max="9" width="10.7109375" style="123" bestFit="1" customWidth="1"/>
    <col min="10" max="10" width="10" style="123" bestFit="1" customWidth="1"/>
    <col min="11" max="11" width="30.42578125" style="123" bestFit="1" customWidth="1"/>
    <col min="12" max="12" width="4.7109375" style="123" bestFit="1" customWidth="1"/>
    <col min="13" max="16384" width="9.140625" style="123"/>
  </cols>
  <sheetData>
    <row r="1" spans="1:11" x14ac:dyDescent="0.25">
      <c r="A1" s="576" t="str">
        <f>'Data Summary'!$A$28</f>
        <v>Table 26:  Component Stocks: Nifty 50 Index during May 2019</v>
      </c>
      <c r="B1" s="576"/>
      <c r="C1" s="576"/>
      <c r="D1" s="576"/>
      <c r="E1" s="576"/>
      <c r="F1" s="576"/>
      <c r="G1" s="576"/>
      <c r="H1" s="576"/>
      <c r="I1" s="576"/>
      <c r="J1" s="576"/>
      <c r="K1" s="576"/>
    </row>
    <row r="2" spans="1:11" s="125" customFormat="1" ht="60" x14ac:dyDescent="0.2">
      <c r="A2" s="168" t="s">
        <v>928</v>
      </c>
      <c r="B2" s="491" t="s">
        <v>210</v>
      </c>
      <c r="C2" s="168" t="s">
        <v>974</v>
      </c>
      <c r="D2" s="168" t="s">
        <v>975</v>
      </c>
      <c r="E2" s="168" t="s">
        <v>277</v>
      </c>
      <c r="F2" s="169" t="s">
        <v>211</v>
      </c>
      <c r="G2" s="168" t="s">
        <v>976</v>
      </c>
      <c r="H2" s="168" t="s">
        <v>278</v>
      </c>
      <c r="I2" s="170" t="s">
        <v>279</v>
      </c>
      <c r="J2" s="168" t="s">
        <v>945</v>
      </c>
    </row>
    <row r="3" spans="1:11" s="125" customFormat="1" ht="30" x14ac:dyDescent="0.2">
      <c r="A3" s="486">
        <v>1</v>
      </c>
      <c r="B3" s="492" t="s">
        <v>267</v>
      </c>
      <c r="C3" s="487">
        <v>414.19</v>
      </c>
      <c r="D3" s="487">
        <v>32769.08</v>
      </c>
      <c r="E3" s="488">
        <v>0.68</v>
      </c>
      <c r="F3" s="489">
        <v>1.41</v>
      </c>
      <c r="G3" s="489">
        <v>0.27</v>
      </c>
      <c r="H3" s="489">
        <v>2.81</v>
      </c>
      <c r="I3" s="489">
        <v>6.01</v>
      </c>
      <c r="J3" s="490">
        <v>0.03</v>
      </c>
    </row>
    <row r="4" spans="1:11" s="125" customFormat="1" x14ac:dyDescent="0.2">
      <c r="A4" s="486">
        <v>2</v>
      </c>
      <c r="B4" s="492" t="s">
        <v>241</v>
      </c>
      <c r="C4" s="487">
        <v>95.92</v>
      </c>
      <c r="D4" s="487">
        <v>63444.32</v>
      </c>
      <c r="E4" s="488">
        <v>1.32</v>
      </c>
      <c r="F4" s="489">
        <v>0.96</v>
      </c>
      <c r="G4" s="489">
        <v>0.31</v>
      </c>
      <c r="H4" s="489">
        <v>1.48</v>
      </c>
      <c r="I4" s="489">
        <v>-3.82</v>
      </c>
      <c r="J4" s="490">
        <v>0.02</v>
      </c>
    </row>
    <row r="5" spans="1:11" s="125" customFormat="1" x14ac:dyDescent="0.2">
      <c r="A5" s="486">
        <v>3</v>
      </c>
      <c r="B5" s="492" t="s">
        <v>235</v>
      </c>
      <c r="C5" s="487">
        <v>514.25</v>
      </c>
      <c r="D5" s="487">
        <v>157952.66</v>
      </c>
      <c r="E5" s="488">
        <v>3.29</v>
      </c>
      <c r="F5" s="489">
        <v>1.1499999999999999</v>
      </c>
      <c r="G5" s="489">
        <v>0.31</v>
      </c>
      <c r="H5" s="489">
        <v>1.51</v>
      </c>
      <c r="I5" s="489">
        <v>5.41</v>
      </c>
      <c r="J5" s="490">
        <v>0.02</v>
      </c>
    </row>
    <row r="6" spans="1:11" s="125" customFormat="1" x14ac:dyDescent="0.2">
      <c r="A6" s="486">
        <v>4</v>
      </c>
      <c r="B6" s="492" t="s">
        <v>256</v>
      </c>
      <c r="C6" s="487">
        <v>289.37</v>
      </c>
      <c r="D6" s="487">
        <v>39792.97</v>
      </c>
      <c r="E6" s="488">
        <v>0.83</v>
      </c>
      <c r="F6" s="489">
        <v>0.75</v>
      </c>
      <c r="G6" s="489">
        <v>0.15</v>
      </c>
      <c r="H6" s="489">
        <v>1.44</v>
      </c>
      <c r="I6" s="489">
        <v>-1.95</v>
      </c>
      <c r="J6" s="490">
        <v>0.02</v>
      </c>
    </row>
    <row r="7" spans="1:11" s="125" customFormat="1" x14ac:dyDescent="0.2">
      <c r="A7" s="486">
        <v>5</v>
      </c>
      <c r="B7" s="492" t="s">
        <v>240</v>
      </c>
      <c r="C7" s="487">
        <v>115.59</v>
      </c>
      <c r="D7" s="487">
        <v>82158.84</v>
      </c>
      <c r="E7" s="488">
        <v>1.71</v>
      </c>
      <c r="F7" s="489">
        <v>1.45</v>
      </c>
      <c r="G7" s="489">
        <v>0.3</v>
      </c>
      <c r="H7" s="489">
        <v>2.31</v>
      </c>
      <c r="I7" s="489">
        <v>11.99</v>
      </c>
      <c r="J7" s="490">
        <v>0.02</v>
      </c>
    </row>
    <row r="8" spans="1:11" s="125" customFormat="1" x14ac:dyDescent="0.2">
      <c r="A8" s="486">
        <v>6</v>
      </c>
      <c r="B8" s="492" t="s">
        <v>251</v>
      </c>
      <c r="C8" s="487">
        <v>79.569999999999993</v>
      </c>
      <c r="D8" s="487">
        <v>49513.94</v>
      </c>
      <c r="E8" s="488">
        <v>1.03</v>
      </c>
      <c r="F8" s="489">
        <v>1.36</v>
      </c>
      <c r="G8" s="489">
        <v>0.37</v>
      </c>
      <c r="H8" s="489">
        <v>1.72</v>
      </c>
      <c r="I8" s="489">
        <v>8.8800000000000008</v>
      </c>
      <c r="J8" s="490">
        <v>0.03</v>
      </c>
    </row>
    <row r="9" spans="1:11" s="125" customFormat="1" ht="30" x14ac:dyDescent="0.2">
      <c r="A9" s="486">
        <v>7</v>
      </c>
      <c r="B9" s="492" t="s">
        <v>270</v>
      </c>
      <c r="C9" s="487">
        <v>2169.25</v>
      </c>
      <c r="D9" s="487">
        <v>31967.41</v>
      </c>
      <c r="E9" s="488">
        <v>0.67</v>
      </c>
      <c r="F9" s="489">
        <v>1.54</v>
      </c>
      <c r="G9" s="489">
        <v>0.23</v>
      </c>
      <c r="H9" s="489">
        <v>2.23</v>
      </c>
      <c r="I9" s="489">
        <v>7.77</v>
      </c>
      <c r="J9" s="490">
        <v>0.02</v>
      </c>
    </row>
    <row r="10" spans="1:11" s="125" customFormat="1" x14ac:dyDescent="0.2">
      <c r="A10" s="486">
        <v>8</v>
      </c>
      <c r="B10" s="492" t="s">
        <v>245</v>
      </c>
      <c r="C10" s="487">
        <v>2565.5</v>
      </c>
      <c r="D10" s="487">
        <v>59059.76</v>
      </c>
      <c r="E10" s="488">
        <v>1.23</v>
      </c>
      <c r="F10" s="489">
        <v>1.23</v>
      </c>
      <c r="G10" s="489">
        <v>0.21</v>
      </c>
      <c r="H10" s="489">
        <v>2.33</v>
      </c>
      <c r="I10" s="489">
        <v>8.9</v>
      </c>
      <c r="J10" s="490">
        <v>0.03</v>
      </c>
    </row>
    <row r="11" spans="1:11" s="125" customFormat="1" x14ac:dyDescent="0.2">
      <c r="A11" s="486">
        <v>9</v>
      </c>
      <c r="B11" s="492" t="s">
        <v>275</v>
      </c>
      <c r="C11" s="487">
        <v>1849.61</v>
      </c>
      <c r="D11" s="487">
        <v>22887.05</v>
      </c>
      <c r="E11" s="488">
        <v>0.48</v>
      </c>
      <c r="F11" s="489">
        <v>0.3</v>
      </c>
      <c r="G11" s="489">
        <v>0.02</v>
      </c>
      <c r="H11" s="489">
        <v>1.79</v>
      </c>
      <c r="I11" s="489">
        <v>2.46</v>
      </c>
      <c r="J11" s="490">
        <v>0.03</v>
      </c>
    </row>
    <row r="12" spans="1:11" s="125" customFormat="1" ht="30" x14ac:dyDescent="0.2">
      <c r="A12" s="486">
        <v>10</v>
      </c>
      <c r="B12" s="492" t="s">
        <v>262</v>
      </c>
      <c r="C12" s="487">
        <v>24.03</v>
      </c>
      <c r="D12" s="487">
        <v>34407.699999999997</v>
      </c>
      <c r="E12" s="488">
        <v>0.72</v>
      </c>
      <c r="F12" s="489">
        <v>0.76</v>
      </c>
      <c r="G12" s="489">
        <v>0.2</v>
      </c>
      <c r="H12" s="489">
        <v>1.43</v>
      </c>
      <c r="I12" s="489">
        <v>0.89</v>
      </c>
      <c r="J12" s="490">
        <v>0.02</v>
      </c>
    </row>
    <row r="13" spans="1:11" s="125" customFormat="1" x14ac:dyDescent="0.2">
      <c r="A13" s="486">
        <v>11</v>
      </c>
      <c r="B13" s="492" t="s">
        <v>271</v>
      </c>
      <c r="C13" s="487">
        <v>161.13999999999999</v>
      </c>
      <c r="D13" s="487">
        <v>28366.69</v>
      </c>
      <c r="E13" s="488">
        <v>0.59</v>
      </c>
      <c r="F13" s="489">
        <v>0.75</v>
      </c>
      <c r="G13" s="489">
        <v>0.16</v>
      </c>
      <c r="H13" s="489">
        <v>1.35</v>
      </c>
      <c r="I13" s="489">
        <v>-1.0900000000000001</v>
      </c>
      <c r="J13" s="490">
        <v>0.02</v>
      </c>
    </row>
    <row r="14" spans="1:11" s="125" customFormat="1" x14ac:dyDescent="0.2">
      <c r="A14" s="486">
        <v>12</v>
      </c>
      <c r="B14" s="492" t="s">
        <v>254</v>
      </c>
      <c r="C14" s="487">
        <v>6207.41</v>
      </c>
      <c r="D14" s="487">
        <v>42486.61</v>
      </c>
      <c r="E14" s="488">
        <v>0.88</v>
      </c>
      <c r="F14" s="489">
        <v>0.45</v>
      </c>
      <c r="G14" s="489">
        <v>0.06</v>
      </c>
      <c r="H14" s="489">
        <v>1.25</v>
      </c>
      <c r="I14" s="489">
        <v>0.54</v>
      </c>
      <c r="J14" s="490">
        <v>0.03</v>
      </c>
    </row>
    <row r="15" spans="1:11" s="125" customFormat="1" ht="30" x14ac:dyDescent="0.2">
      <c r="A15" s="486">
        <v>13</v>
      </c>
      <c r="B15" s="492" t="s">
        <v>259</v>
      </c>
      <c r="C15" s="487">
        <v>83.03</v>
      </c>
      <c r="D15" s="487">
        <v>32468.14</v>
      </c>
      <c r="E15" s="488">
        <v>0.68</v>
      </c>
      <c r="F15" s="489">
        <v>0.26</v>
      </c>
      <c r="G15" s="489">
        <v>0.01</v>
      </c>
      <c r="H15" s="489">
        <v>1.65</v>
      </c>
      <c r="I15" s="489">
        <v>-8.7100000000000009</v>
      </c>
      <c r="J15" s="490">
        <v>0.02</v>
      </c>
    </row>
    <row r="16" spans="1:11" s="125" customFormat="1" x14ac:dyDescent="0.2">
      <c r="A16" s="486">
        <v>14</v>
      </c>
      <c r="B16" s="492" t="s">
        <v>272</v>
      </c>
      <c r="C16" s="487">
        <v>27.28</v>
      </c>
      <c r="D16" s="487">
        <v>27755.52</v>
      </c>
      <c r="E16" s="488">
        <v>0.57999999999999996</v>
      </c>
      <c r="F16" s="489">
        <v>1.39</v>
      </c>
      <c r="G16" s="489">
        <v>0.26</v>
      </c>
      <c r="H16" s="489">
        <v>2.54</v>
      </c>
      <c r="I16" s="489">
        <v>-2.06</v>
      </c>
      <c r="J16" s="490">
        <v>0.02</v>
      </c>
    </row>
    <row r="17" spans="1:10" s="125" customFormat="1" x14ac:dyDescent="0.2">
      <c r="A17" s="486">
        <v>15</v>
      </c>
      <c r="B17" s="492" t="s">
        <v>264</v>
      </c>
      <c r="C17" s="487">
        <v>2255.0700000000002</v>
      </c>
      <c r="D17" s="487">
        <v>32563.22</v>
      </c>
      <c r="E17" s="488">
        <v>0.68</v>
      </c>
      <c r="F17" s="489">
        <v>0.92</v>
      </c>
      <c r="G17" s="489">
        <v>0.16</v>
      </c>
      <c r="H17" s="489">
        <v>1.89</v>
      </c>
      <c r="I17" s="489">
        <v>1.42</v>
      </c>
      <c r="J17" s="490">
        <v>0.02</v>
      </c>
    </row>
    <row r="18" spans="1:10" s="125" customFormat="1" x14ac:dyDescent="0.2">
      <c r="A18" s="486">
        <v>16</v>
      </c>
      <c r="B18" s="492" t="s">
        <v>260</v>
      </c>
      <c r="C18" s="487">
        <v>131.52000000000001</v>
      </c>
      <c r="D18" s="487">
        <v>34961.870000000003</v>
      </c>
      <c r="E18" s="488">
        <v>0.73</v>
      </c>
      <c r="F18" s="489">
        <v>1.23</v>
      </c>
      <c r="G18" s="489">
        <v>0.28000000000000003</v>
      </c>
      <c r="H18" s="489">
        <v>2.4700000000000002</v>
      </c>
      <c r="I18" s="489">
        <v>-1.68</v>
      </c>
      <c r="J18" s="490">
        <v>0.02</v>
      </c>
    </row>
    <row r="19" spans="1:10" s="125" customFormat="1" ht="30" x14ac:dyDescent="0.2">
      <c r="A19" s="486">
        <v>17</v>
      </c>
      <c r="B19" s="492" t="s">
        <v>242</v>
      </c>
      <c r="C19" s="487">
        <v>271.25</v>
      </c>
      <c r="D19" s="487">
        <v>59271.41</v>
      </c>
      <c r="E19" s="488">
        <v>1.23</v>
      </c>
      <c r="F19" s="489">
        <v>0.51</v>
      </c>
      <c r="G19" s="489">
        <v>7.0000000000000007E-2</v>
      </c>
      <c r="H19" s="489">
        <v>1.26</v>
      </c>
      <c r="I19" s="489">
        <v>-7.67</v>
      </c>
      <c r="J19" s="490">
        <v>0.02</v>
      </c>
    </row>
    <row r="20" spans="1:10" s="125" customFormat="1" x14ac:dyDescent="0.2">
      <c r="A20" s="486">
        <v>18</v>
      </c>
      <c r="B20" s="492" t="s">
        <v>226</v>
      </c>
      <c r="C20" s="487">
        <v>544.66</v>
      </c>
      <c r="D20" s="487">
        <v>521792.76</v>
      </c>
      <c r="E20" s="488">
        <v>10.86</v>
      </c>
      <c r="F20" s="489">
        <v>0.69</v>
      </c>
      <c r="G20" s="489">
        <v>0.32</v>
      </c>
      <c r="H20" s="489">
        <v>1.32</v>
      </c>
      <c r="I20" s="489">
        <v>4.66</v>
      </c>
      <c r="J20" s="490">
        <v>0.02</v>
      </c>
    </row>
    <row r="21" spans="1:10" s="125" customFormat="1" x14ac:dyDescent="0.2">
      <c r="A21" s="486">
        <v>19</v>
      </c>
      <c r="B21" s="492" t="s">
        <v>263</v>
      </c>
      <c r="C21" s="487">
        <v>39.950000000000003</v>
      </c>
      <c r="D21" s="487">
        <v>34795.67</v>
      </c>
      <c r="E21" s="488">
        <v>0.72</v>
      </c>
      <c r="F21" s="489">
        <v>0.96</v>
      </c>
      <c r="G21" s="489">
        <v>0.19</v>
      </c>
      <c r="H21" s="489">
        <v>1.74</v>
      </c>
      <c r="I21" s="489">
        <v>6.7</v>
      </c>
      <c r="J21" s="490">
        <v>0.02</v>
      </c>
    </row>
    <row r="22" spans="1:10" s="125" customFormat="1" ht="30" x14ac:dyDescent="0.2">
      <c r="A22" s="486">
        <v>20</v>
      </c>
      <c r="B22" s="492" t="s">
        <v>269</v>
      </c>
      <c r="C22" s="487">
        <v>224.55</v>
      </c>
      <c r="D22" s="487">
        <v>28754.01</v>
      </c>
      <c r="E22" s="488">
        <v>0.6</v>
      </c>
      <c r="F22" s="489">
        <v>1.34</v>
      </c>
      <c r="G22" s="489">
        <v>0.26</v>
      </c>
      <c r="H22" s="489">
        <v>1.69</v>
      </c>
      <c r="I22" s="489">
        <v>-4.3899999999999997</v>
      </c>
      <c r="J22" s="490">
        <v>0.03</v>
      </c>
    </row>
    <row r="23" spans="1:10" s="125" customFormat="1" ht="30" x14ac:dyDescent="0.2">
      <c r="A23" s="486">
        <v>21</v>
      </c>
      <c r="B23" s="492" t="s">
        <v>236</v>
      </c>
      <c r="C23" s="487">
        <v>216.47</v>
      </c>
      <c r="D23" s="487">
        <v>127760.02</v>
      </c>
      <c r="E23" s="488">
        <v>2.66</v>
      </c>
      <c r="F23" s="489">
        <v>0.69</v>
      </c>
      <c r="G23" s="489">
        <v>0.19</v>
      </c>
      <c r="H23" s="489">
        <v>1.25</v>
      </c>
      <c r="I23" s="489">
        <v>1.75</v>
      </c>
      <c r="J23" s="490">
        <v>0.02</v>
      </c>
    </row>
    <row r="24" spans="1:10" s="125" customFormat="1" ht="45" x14ac:dyDescent="0.2">
      <c r="A24" s="486">
        <v>22</v>
      </c>
      <c r="B24" s="492" t="s">
        <v>228</v>
      </c>
      <c r="C24" s="487">
        <v>343.74</v>
      </c>
      <c r="D24" s="487">
        <v>360126.98</v>
      </c>
      <c r="E24" s="488">
        <v>7.49</v>
      </c>
      <c r="F24" s="489">
        <v>1.22</v>
      </c>
      <c r="G24" s="489">
        <v>0.45</v>
      </c>
      <c r="H24" s="489">
        <v>1.76</v>
      </c>
      <c r="I24" s="489">
        <v>9.4</v>
      </c>
      <c r="J24" s="490">
        <v>0.02</v>
      </c>
    </row>
    <row r="25" spans="1:10" s="125" customFormat="1" x14ac:dyDescent="0.2">
      <c r="A25" s="486">
        <v>23</v>
      </c>
      <c r="B25" s="492" t="s">
        <v>230</v>
      </c>
      <c r="C25" s="487">
        <v>1288.92</v>
      </c>
      <c r="D25" s="487">
        <v>273057.52</v>
      </c>
      <c r="E25" s="488">
        <v>5.68</v>
      </c>
      <c r="F25" s="489">
        <v>1.35</v>
      </c>
      <c r="G25" s="489">
        <v>0.36</v>
      </c>
      <c r="H25" s="489">
        <v>2.14</v>
      </c>
      <c r="I25" s="489">
        <v>3.98</v>
      </c>
      <c r="J25" s="490">
        <v>0.03</v>
      </c>
    </row>
    <row r="26" spans="1:10" s="125" customFormat="1" x14ac:dyDescent="0.2">
      <c r="A26" s="486">
        <v>24</v>
      </c>
      <c r="B26" s="492" t="s">
        <v>231</v>
      </c>
      <c r="C26" s="487">
        <v>1225.3900000000001</v>
      </c>
      <c r="D26" s="487">
        <v>238932.78</v>
      </c>
      <c r="E26" s="488">
        <v>4.97</v>
      </c>
      <c r="F26" s="489">
        <v>0.87</v>
      </c>
      <c r="G26" s="489">
        <v>0.31</v>
      </c>
      <c r="H26" s="489">
        <v>1.61</v>
      </c>
      <c r="I26" s="489">
        <v>-7.57</v>
      </c>
      <c r="J26" s="490">
        <v>0.03</v>
      </c>
    </row>
    <row r="27" spans="1:10" s="125" customFormat="1" ht="30" x14ac:dyDescent="0.2">
      <c r="A27" s="486">
        <v>25</v>
      </c>
      <c r="B27" s="492" t="s">
        <v>274</v>
      </c>
      <c r="C27" s="487">
        <v>85.48</v>
      </c>
      <c r="D27" s="487">
        <v>26221.58</v>
      </c>
      <c r="E27" s="488">
        <v>0.55000000000000004</v>
      </c>
      <c r="F27" s="489">
        <v>2.3199999999999998</v>
      </c>
      <c r="G27" s="489">
        <v>0.28000000000000003</v>
      </c>
      <c r="H27" s="489">
        <v>3.53</v>
      </c>
      <c r="I27" s="489">
        <v>13.1</v>
      </c>
      <c r="J27" s="490">
        <v>0.04</v>
      </c>
    </row>
    <row r="28" spans="1:10" s="125" customFormat="1" ht="30" x14ac:dyDescent="0.2">
      <c r="A28" s="486">
        <v>26</v>
      </c>
      <c r="B28" s="492" t="s">
        <v>258</v>
      </c>
      <c r="C28" s="487">
        <v>9414.16</v>
      </c>
      <c r="D28" s="487">
        <v>38962.85</v>
      </c>
      <c r="E28" s="488">
        <v>0.81</v>
      </c>
      <c r="F28" s="489">
        <v>1.36</v>
      </c>
      <c r="G28" s="489">
        <v>0.21</v>
      </c>
      <c r="H28" s="489">
        <v>2.16</v>
      </c>
      <c r="I28" s="489">
        <v>4.75</v>
      </c>
      <c r="J28" s="490">
        <v>0.03</v>
      </c>
    </row>
    <row r="29" spans="1:10" s="125" customFormat="1" x14ac:dyDescent="0.2">
      <c r="A29" s="486">
        <v>27</v>
      </c>
      <c r="B29" s="492" t="s">
        <v>239</v>
      </c>
      <c r="C29" s="487">
        <v>602.69000000000005</v>
      </c>
      <c r="D29" s="487">
        <v>82239.31</v>
      </c>
      <c r="E29" s="488">
        <v>1.71</v>
      </c>
      <c r="F29" s="489">
        <v>1.17</v>
      </c>
      <c r="G29" s="489">
        <v>0.26</v>
      </c>
      <c r="H29" s="489">
        <v>3.13</v>
      </c>
      <c r="I29" s="489">
        <v>-7.0000000000000007E-2</v>
      </c>
      <c r="J29" s="490">
        <v>0.03</v>
      </c>
    </row>
    <row r="30" spans="1:10" s="125" customFormat="1" x14ac:dyDescent="0.2">
      <c r="A30" s="486">
        <v>28</v>
      </c>
      <c r="B30" s="492" t="s">
        <v>229</v>
      </c>
      <c r="C30" s="487">
        <v>2184.4699999999998</v>
      </c>
      <c r="D30" s="487">
        <v>280416.59000000003</v>
      </c>
      <c r="E30" s="488">
        <v>5.83</v>
      </c>
      <c r="F30" s="489">
        <v>0.51</v>
      </c>
      <c r="G30" s="489">
        <v>0.08</v>
      </c>
      <c r="H30" s="489">
        <v>1.24</v>
      </c>
      <c r="I30" s="489">
        <v>-1.81</v>
      </c>
      <c r="J30" s="490">
        <v>0.02</v>
      </c>
    </row>
    <row r="31" spans="1:10" s="125" customFormat="1" x14ac:dyDescent="0.2">
      <c r="A31" s="486">
        <v>29</v>
      </c>
      <c r="B31" s="492" t="s">
        <v>265</v>
      </c>
      <c r="C31" s="487">
        <v>241.72</v>
      </c>
      <c r="D31" s="487">
        <v>27583.87</v>
      </c>
      <c r="E31" s="488">
        <v>0.56999999999999995</v>
      </c>
      <c r="F31" s="489">
        <v>1.23</v>
      </c>
      <c r="G31" s="489">
        <v>0.25</v>
      </c>
      <c r="H31" s="489">
        <v>2.38</v>
      </c>
      <c r="I31" s="489">
        <v>-11.89</v>
      </c>
      <c r="J31" s="490">
        <v>0.03</v>
      </c>
    </row>
    <row r="32" spans="1:10" s="125" customFormat="1" ht="30" x14ac:dyDescent="0.2">
      <c r="A32" s="486">
        <v>30</v>
      </c>
      <c r="B32" s="492" t="s">
        <v>233</v>
      </c>
      <c r="C32" s="487">
        <v>954.02</v>
      </c>
      <c r="D32" s="487">
        <v>203301.98</v>
      </c>
      <c r="E32" s="488">
        <v>4.2300000000000004</v>
      </c>
      <c r="F32" s="489">
        <v>0.92</v>
      </c>
      <c r="G32" s="489">
        <v>0.24</v>
      </c>
      <c r="H32" s="489">
        <v>1.19</v>
      </c>
      <c r="I32" s="489">
        <v>9.7799999999999994</v>
      </c>
      <c r="J32" s="490">
        <v>0.02</v>
      </c>
    </row>
    <row r="33" spans="1:10" s="125" customFormat="1" x14ac:dyDescent="0.2">
      <c r="A33" s="486">
        <v>31</v>
      </c>
      <c r="B33" s="492" t="s">
        <v>234</v>
      </c>
      <c r="C33" s="487">
        <v>280.52</v>
      </c>
      <c r="D33" s="487">
        <v>192249.89</v>
      </c>
      <c r="E33" s="488">
        <v>4</v>
      </c>
      <c r="F33" s="489">
        <v>1.01</v>
      </c>
      <c r="G33" s="489">
        <v>0.35</v>
      </c>
      <c r="H33" s="489">
        <v>2.0299999999999998</v>
      </c>
      <c r="I33" s="489">
        <v>15.5</v>
      </c>
      <c r="J33" s="490">
        <v>0.02</v>
      </c>
    </row>
    <row r="34" spans="1:10" s="125" customFormat="1" ht="30" x14ac:dyDescent="0.2">
      <c r="A34" s="486">
        <v>32</v>
      </c>
      <c r="B34" s="492" t="s">
        <v>243</v>
      </c>
      <c r="C34" s="487">
        <v>621.6</v>
      </c>
      <c r="D34" s="487">
        <v>60330.58</v>
      </c>
      <c r="E34" s="488">
        <v>1.26</v>
      </c>
      <c r="F34" s="489">
        <v>1.25</v>
      </c>
      <c r="G34" s="489">
        <v>0.36</v>
      </c>
      <c r="H34" s="489">
        <v>1.92</v>
      </c>
      <c r="I34" s="489">
        <v>0.27</v>
      </c>
      <c r="J34" s="490">
        <v>0.02</v>
      </c>
    </row>
    <row r="35" spans="1:10" s="125" customFormat="1" ht="30" x14ac:dyDescent="0.2">
      <c r="A35" s="486">
        <v>33</v>
      </c>
      <c r="B35" s="492" t="s">
        <v>238</v>
      </c>
      <c r="C35" s="487">
        <v>151.04</v>
      </c>
      <c r="D35" s="487">
        <v>91310.77</v>
      </c>
      <c r="E35" s="488">
        <v>1.9</v>
      </c>
      <c r="F35" s="489">
        <v>1.18</v>
      </c>
      <c r="G35" s="489">
        <v>0.33</v>
      </c>
      <c r="H35" s="489">
        <v>1.76</v>
      </c>
      <c r="I35" s="489">
        <v>3.05</v>
      </c>
      <c r="J35" s="490">
        <v>0.02</v>
      </c>
    </row>
    <row r="36" spans="1:10" s="125" customFormat="1" x14ac:dyDescent="0.2">
      <c r="A36" s="486">
        <v>34</v>
      </c>
      <c r="B36" s="492" t="s">
        <v>244</v>
      </c>
      <c r="C36" s="487">
        <v>9894.56</v>
      </c>
      <c r="D36" s="487">
        <v>54056.44</v>
      </c>
      <c r="E36" s="488">
        <v>1.1200000000000001</v>
      </c>
      <c r="F36" s="489">
        <v>0.68</v>
      </c>
      <c r="G36" s="489">
        <v>0.15</v>
      </c>
      <c r="H36" s="489">
        <v>1.71</v>
      </c>
      <c r="I36" s="489">
        <v>-0.6</v>
      </c>
      <c r="J36" s="490">
        <v>0.03</v>
      </c>
    </row>
    <row r="37" spans="1:10" s="125" customFormat="1" ht="30" x14ac:dyDescent="0.2">
      <c r="A37" s="486">
        <v>35</v>
      </c>
      <c r="B37" s="492" t="s">
        <v>247</v>
      </c>
      <c r="C37" s="487">
        <v>6290.14</v>
      </c>
      <c r="D37" s="487">
        <v>51916.3</v>
      </c>
      <c r="E37" s="488">
        <v>1.08</v>
      </c>
      <c r="F37" s="489">
        <v>1</v>
      </c>
      <c r="G37" s="489">
        <v>0.2</v>
      </c>
      <c r="H37" s="489">
        <v>1.59</v>
      </c>
      <c r="I37" s="489">
        <v>1.63</v>
      </c>
      <c r="J37" s="490">
        <v>0.02</v>
      </c>
    </row>
    <row r="38" spans="1:10" s="125" customFormat="1" ht="45" x14ac:dyDescent="0.2">
      <c r="A38" s="486">
        <v>36</v>
      </c>
      <c r="B38" s="492" t="s">
        <v>253</v>
      </c>
      <c r="C38" s="487">
        <v>5231.59</v>
      </c>
      <c r="D38" s="487">
        <v>43574.96</v>
      </c>
      <c r="E38" s="488">
        <v>0.91</v>
      </c>
      <c r="F38" s="489">
        <v>0.63</v>
      </c>
      <c r="G38" s="489">
        <v>0.14000000000000001</v>
      </c>
      <c r="H38" s="489">
        <v>1.35</v>
      </c>
      <c r="I38" s="489">
        <v>1.56</v>
      </c>
      <c r="J38" s="490">
        <v>0.02</v>
      </c>
    </row>
    <row r="39" spans="1:10" s="125" customFormat="1" x14ac:dyDescent="0.2">
      <c r="A39" s="486">
        <v>37</v>
      </c>
      <c r="B39" s="492" t="s">
        <v>227</v>
      </c>
      <c r="C39" s="487">
        <v>6338.69</v>
      </c>
      <c r="D39" s="487">
        <v>455296.25</v>
      </c>
      <c r="E39" s="488">
        <v>9.4700000000000006</v>
      </c>
      <c r="F39" s="489">
        <v>1.43</v>
      </c>
      <c r="G39" s="489">
        <v>0.44</v>
      </c>
      <c r="H39" s="489">
        <v>1.81</v>
      </c>
      <c r="I39" s="489">
        <v>-4.5</v>
      </c>
      <c r="J39" s="490">
        <v>0.02</v>
      </c>
    </row>
    <row r="40" spans="1:10" s="125" customFormat="1" x14ac:dyDescent="0.2">
      <c r="A40" s="486">
        <v>38</v>
      </c>
      <c r="B40" s="492" t="s">
        <v>237</v>
      </c>
      <c r="C40" s="487">
        <v>892.46</v>
      </c>
      <c r="D40" s="487">
        <v>132128.87</v>
      </c>
      <c r="E40" s="488">
        <v>2.75</v>
      </c>
      <c r="F40" s="489">
        <v>1.46</v>
      </c>
      <c r="G40" s="489">
        <v>0.42</v>
      </c>
      <c r="H40" s="489">
        <v>2.31</v>
      </c>
      <c r="I40" s="489">
        <v>13.73</v>
      </c>
      <c r="J40" s="490">
        <v>0.02</v>
      </c>
    </row>
    <row r="41" spans="1:10" s="125" customFormat="1" ht="30" x14ac:dyDescent="0.2">
      <c r="A41" s="486">
        <v>39</v>
      </c>
      <c r="B41" s="492" t="s">
        <v>248</v>
      </c>
      <c r="C41" s="487">
        <v>239.93</v>
      </c>
      <c r="D41" s="487">
        <v>45234.9</v>
      </c>
      <c r="E41" s="488">
        <v>0.94</v>
      </c>
      <c r="F41" s="489">
        <v>0.85</v>
      </c>
      <c r="G41" s="489">
        <v>0.1</v>
      </c>
      <c r="H41" s="489">
        <v>2.61</v>
      </c>
      <c r="I41" s="489">
        <v>-10.44</v>
      </c>
      <c r="J41" s="490">
        <v>0.03</v>
      </c>
    </row>
    <row r="42" spans="1:10" s="125" customFormat="1" ht="30" x14ac:dyDescent="0.2">
      <c r="A42" s="486">
        <v>40</v>
      </c>
      <c r="B42" s="492" t="s">
        <v>232</v>
      </c>
      <c r="C42" s="487">
        <v>375.24</v>
      </c>
      <c r="D42" s="487">
        <v>230784.42</v>
      </c>
      <c r="E42" s="488">
        <v>4.8</v>
      </c>
      <c r="F42" s="489">
        <v>0.5</v>
      </c>
      <c r="G42" s="489">
        <v>7.0000000000000007E-2</v>
      </c>
      <c r="H42" s="489">
        <v>1.52</v>
      </c>
      <c r="I42" s="489">
        <v>-2.82</v>
      </c>
      <c r="J42" s="490">
        <v>0.02</v>
      </c>
    </row>
    <row r="43" spans="1:10" s="125" customFormat="1" x14ac:dyDescent="0.2">
      <c r="A43" s="486">
        <v>41</v>
      </c>
      <c r="B43" s="492" t="s">
        <v>257</v>
      </c>
      <c r="C43" s="487">
        <v>577.47</v>
      </c>
      <c r="D43" s="487">
        <v>31396.45</v>
      </c>
      <c r="E43" s="488">
        <v>0.65</v>
      </c>
      <c r="F43" s="489">
        <v>1.68</v>
      </c>
      <c r="G43" s="489">
        <v>0.25</v>
      </c>
      <c r="H43" s="489">
        <v>3.52</v>
      </c>
      <c r="I43" s="489">
        <v>-19.46</v>
      </c>
      <c r="J43" s="490">
        <v>0.03</v>
      </c>
    </row>
    <row r="44" spans="1:10" s="125" customFormat="1" x14ac:dyDescent="0.2">
      <c r="A44" s="486">
        <v>42</v>
      </c>
      <c r="B44" s="492" t="s">
        <v>255</v>
      </c>
      <c r="C44" s="487">
        <v>1126.6099999999999</v>
      </c>
      <c r="D44" s="487">
        <v>36858.43</v>
      </c>
      <c r="E44" s="488">
        <v>0.77</v>
      </c>
      <c r="F44" s="489">
        <v>1.26</v>
      </c>
      <c r="G44" s="489">
        <v>0.27</v>
      </c>
      <c r="H44" s="489">
        <v>2.4700000000000002</v>
      </c>
      <c r="I44" s="489">
        <v>-12.37</v>
      </c>
      <c r="J44" s="490">
        <v>0.03</v>
      </c>
    </row>
    <row r="45" spans="1:10" s="125" customFormat="1" x14ac:dyDescent="0.2">
      <c r="A45" s="486">
        <v>43</v>
      </c>
      <c r="B45" s="492" t="s">
        <v>246</v>
      </c>
      <c r="C45" s="487">
        <v>491.68</v>
      </c>
      <c r="D45" s="487">
        <v>47852.78</v>
      </c>
      <c r="E45" s="488">
        <v>1</v>
      </c>
      <c r="F45" s="489">
        <v>0.6</v>
      </c>
      <c r="G45" s="489">
        <v>0.08</v>
      </c>
      <c r="H45" s="489">
        <v>1.45</v>
      </c>
      <c r="I45" s="489">
        <v>-9.06</v>
      </c>
      <c r="J45" s="490">
        <v>0.02</v>
      </c>
    </row>
    <row r="46" spans="1:10" s="125" customFormat="1" x14ac:dyDescent="0.2">
      <c r="A46" s="486">
        <v>44</v>
      </c>
      <c r="B46" s="492" t="s">
        <v>249</v>
      </c>
      <c r="C46" s="487">
        <v>88.78</v>
      </c>
      <c r="D46" s="487">
        <v>51562.84</v>
      </c>
      <c r="E46" s="488">
        <v>1.07</v>
      </c>
      <c r="F46" s="489">
        <v>0.86</v>
      </c>
      <c r="G46" s="489">
        <v>0.17</v>
      </c>
      <c r="H46" s="489">
        <v>1.73</v>
      </c>
      <c r="I46" s="489">
        <v>6.66</v>
      </c>
      <c r="J46" s="490">
        <v>0.02</v>
      </c>
    </row>
    <row r="47" spans="1:10" s="125" customFormat="1" x14ac:dyDescent="0.2">
      <c r="A47" s="486">
        <v>45</v>
      </c>
      <c r="B47" s="492" t="s">
        <v>261</v>
      </c>
      <c r="C47" s="487">
        <v>101.87</v>
      </c>
      <c r="D47" s="487">
        <v>36634.17</v>
      </c>
      <c r="E47" s="488">
        <v>0.76</v>
      </c>
      <c r="F47" s="489">
        <v>1.1200000000000001</v>
      </c>
      <c r="G47" s="489">
        <v>0.2</v>
      </c>
      <c r="H47" s="489">
        <v>1.48</v>
      </c>
      <c r="I47" s="489">
        <v>3.07</v>
      </c>
      <c r="J47" s="490">
        <v>0.02</v>
      </c>
    </row>
    <row r="48" spans="1:10" s="125" customFormat="1" x14ac:dyDescent="0.2">
      <c r="A48" s="486">
        <v>46</v>
      </c>
      <c r="B48" s="492" t="s">
        <v>250</v>
      </c>
      <c r="C48" s="487">
        <v>274.64</v>
      </c>
      <c r="D48" s="487">
        <v>49678.02</v>
      </c>
      <c r="E48" s="488">
        <v>1.03</v>
      </c>
      <c r="F48" s="489">
        <v>1.2</v>
      </c>
      <c r="G48" s="489">
        <v>0.32</v>
      </c>
      <c r="H48" s="489">
        <v>2.02</v>
      </c>
      <c r="I48" s="489">
        <v>3.1</v>
      </c>
      <c r="J48" s="490">
        <v>0.02</v>
      </c>
    </row>
    <row r="49" spans="1:10" s="125" customFormat="1" x14ac:dyDescent="0.2">
      <c r="A49" s="486">
        <v>47</v>
      </c>
      <c r="B49" s="492" t="s">
        <v>268</v>
      </c>
      <c r="C49" s="487">
        <v>371.72</v>
      </c>
      <c r="D49" s="487">
        <v>29243</v>
      </c>
      <c r="E49" s="488">
        <v>0.61</v>
      </c>
      <c r="F49" s="489">
        <v>1.28</v>
      </c>
      <c r="G49" s="489">
        <v>0.18</v>
      </c>
      <c r="H49" s="489">
        <v>2.3199999999999998</v>
      </c>
      <c r="I49" s="489">
        <v>-3.78</v>
      </c>
      <c r="J49" s="490">
        <v>0.03</v>
      </c>
    </row>
    <row r="50" spans="1:10" s="125" customFormat="1" x14ac:dyDescent="0.2">
      <c r="A50" s="486">
        <v>48</v>
      </c>
      <c r="B50" s="492" t="s">
        <v>252</v>
      </c>
      <c r="C50" s="487">
        <v>1206.78</v>
      </c>
      <c r="D50" s="487">
        <v>43202.559999999998</v>
      </c>
      <c r="E50" s="488">
        <v>0.9</v>
      </c>
      <c r="F50" s="489">
        <v>0.43</v>
      </c>
      <c r="G50" s="489">
        <v>0.06</v>
      </c>
      <c r="H50" s="489">
        <v>0.88</v>
      </c>
      <c r="I50" s="489">
        <v>-4.07</v>
      </c>
      <c r="J50" s="490">
        <v>0.02</v>
      </c>
    </row>
    <row r="51" spans="1:10" s="125" customFormat="1" x14ac:dyDescent="0.2">
      <c r="A51" s="486">
        <v>49</v>
      </c>
      <c r="B51" s="492" t="s">
        <v>266</v>
      </c>
      <c r="C51" s="487">
        <v>462.77</v>
      </c>
      <c r="D51" s="487">
        <v>27358.68</v>
      </c>
      <c r="E51" s="488">
        <v>0.56999999999999995</v>
      </c>
      <c r="F51" s="489">
        <v>1.18</v>
      </c>
      <c r="G51" s="489">
        <v>0.05</v>
      </c>
      <c r="H51" s="489">
        <v>3.91</v>
      </c>
      <c r="I51" s="489">
        <v>-12.02</v>
      </c>
      <c r="J51" s="490">
        <v>0.05</v>
      </c>
    </row>
    <row r="52" spans="1:10" s="125" customFormat="1" ht="30" x14ac:dyDescent="0.2">
      <c r="A52" s="486">
        <v>50</v>
      </c>
      <c r="B52" s="492" t="s">
        <v>273</v>
      </c>
      <c r="C52" s="487">
        <v>96.05</v>
      </c>
      <c r="D52" s="487">
        <v>19912.490000000002</v>
      </c>
      <c r="E52" s="488">
        <v>0.41</v>
      </c>
      <c r="F52" s="489">
        <v>0.89</v>
      </c>
      <c r="G52" s="489">
        <v>0.05</v>
      </c>
      <c r="H52" s="489">
        <v>5.22</v>
      </c>
      <c r="I52" s="489">
        <v>-17.37</v>
      </c>
      <c r="J52" s="490">
        <v>0.04</v>
      </c>
    </row>
    <row r="53" spans="1:10" s="125" customFormat="1" x14ac:dyDescent="0.2">
      <c r="A53" s="646" t="s">
        <v>1024</v>
      </c>
      <c r="B53" s="646"/>
      <c r="C53" s="646"/>
      <c r="D53" s="646"/>
      <c r="E53" s="646"/>
      <c r="F53" s="646"/>
      <c r="G53" s="646"/>
      <c r="H53" s="646"/>
      <c r="I53" s="646"/>
      <c r="J53" s="646"/>
    </row>
    <row r="54" spans="1:10" s="125" customFormat="1" ht="24" customHeight="1" x14ac:dyDescent="0.2">
      <c r="A54" s="639" t="s">
        <v>221</v>
      </c>
      <c r="B54" s="640"/>
      <c r="C54" s="640"/>
      <c r="D54" s="640"/>
      <c r="E54" s="640"/>
      <c r="F54" s="640"/>
      <c r="G54" s="640"/>
      <c r="H54" s="640"/>
      <c r="I54" s="640"/>
      <c r="J54" s="641"/>
    </row>
    <row r="55" spans="1:10" s="125" customFormat="1" ht="15" customHeight="1" x14ac:dyDescent="0.2">
      <c r="A55" s="639" t="s">
        <v>222</v>
      </c>
      <c r="B55" s="640"/>
      <c r="C55" s="640"/>
      <c r="D55" s="640"/>
      <c r="E55" s="640"/>
      <c r="F55" s="640"/>
      <c r="G55" s="640"/>
      <c r="H55" s="640"/>
      <c r="I55" s="640"/>
      <c r="J55" s="641"/>
    </row>
    <row r="56" spans="1:10" s="125" customFormat="1" ht="30" customHeight="1" x14ac:dyDescent="0.2">
      <c r="A56" s="639" t="s">
        <v>223</v>
      </c>
      <c r="B56" s="640"/>
      <c r="C56" s="640"/>
      <c r="D56" s="640"/>
      <c r="E56" s="640"/>
      <c r="F56" s="640"/>
      <c r="G56" s="640"/>
      <c r="H56" s="640"/>
      <c r="I56" s="640"/>
      <c r="J56" s="641"/>
    </row>
    <row r="57" spans="1:10" s="125" customFormat="1" ht="15" customHeight="1" x14ac:dyDescent="0.2">
      <c r="A57" s="639" t="s">
        <v>224</v>
      </c>
      <c r="B57" s="640"/>
      <c r="C57" s="640"/>
      <c r="D57" s="640"/>
      <c r="E57" s="640"/>
      <c r="F57" s="640"/>
      <c r="G57" s="640"/>
      <c r="H57" s="640"/>
      <c r="I57" s="640"/>
      <c r="J57" s="641"/>
    </row>
    <row r="58" spans="1:10" s="125" customFormat="1" x14ac:dyDescent="0.2">
      <c r="A58" s="594" t="s">
        <v>276</v>
      </c>
      <c r="B58" s="594"/>
      <c r="C58" s="594"/>
      <c r="D58" s="594"/>
      <c r="E58" s="594"/>
      <c r="F58" s="594"/>
      <c r="G58" s="594"/>
      <c r="H58" s="594"/>
      <c r="I58" s="594"/>
      <c r="J58" s="594"/>
    </row>
    <row r="59" spans="1:10" s="125" customFormat="1" x14ac:dyDescent="0.2">
      <c r="B59" s="493"/>
    </row>
  </sheetData>
  <mergeCells count="7">
    <mergeCell ref="A58:J58"/>
    <mergeCell ref="A1:K1"/>
    <mergeCell ref="A54:J54"/>
    <mergeCell ref="A55:J55"/>
    <mergeCell ref="A56:J56"/>
    <mergeCell ref="A57:J57"/>
    <mergeCell ref="A53:J53"/>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zoomScaleNormal="100" workbookViewId="0">
      <selection activeCell="D7" sqref="D7"/>
    </sheetView>
  </sheetViews>
  <sheetFormatPr defaultRowHeight="12.75" x14ac:dyDescent="0.2"/>
  <cols>
    <col min="1" max="1" width="6.28515625" bestFit="1" customWidth="1"/>
    <col min="2" max="2" width="14.85546875" bestFit="1" customWidth="1"/>
    <col min="3" max="3" width="13.28515625" bestFit="1" customWidth="1"/>
    <col min="4" max="4" width="13" bestFit="1" customWidth="1"/>
    <col min="5" max="5" width="10.42578125" bestFit="1" customWidth="1"/>
    <col min="6" max="6" width="7.5703125" bestFit="1" customWidth="1"/>
    <col min="7" max="7" width="6.140625" bestFit="1" customWidth="1"/>
    <col min="8" max="8" width="10.28515625" bestFit="1" customWidth="1"/>
    <col min="9" max="9" width="12.5703125" bestFit="1" customWidth="1"/>
    <col min="10" max="10" width="12.140625" bestFit="1" customWidth="1"/>
    <col min="11" max="11" width="14.28515625" bestFit="1" customWidth="1"/>
    <col min="12" max="12" width="4.7109375" bestFit="1" customWidth="1"/>
  </cols>
  <sheetData>
    <row r="1" spans="1:10" s="495" customFormat="1" ht="15.75" customHeight="1" x14ac:dyDescent="0.25">
      <c r="A1" s="647" t="str">
        <f>'Data Summary'!$A$29</f>
        <v>Table 27:  Component Stock: SX 40 Index during May 2019</v>
      </c>
      <c r="B1" s="647"/>
      <c r="C1" s="647"/>
      <c r="D1" s="647"/>
      <c r="E1" s="647"/>
      <c r="F1" s="647"/>
      <c r="G1" s="647"/>
      <c r="H1" s="647"/>
      <c r="I1" s="647"/>
      <c r="J1" s="647"/>
    </row>
    <row r="2" spans="1:10" s="195" customFormat="1" ht="68.25" customHeight="1" x14ac:dyDescent="0.25">
      <c r="A2" s="192" t="s">
        <v>928</v>
      </c>
      <c r="B2" s="192" t="s">
        <v>210</v>
      </c>
      <c r="C2" s="472" t="s">
        <v>943</v>
      </c>
      <c r="D2" s="472" t="s">
        <v>1019</v>
      </c>
      <c r="E2" s="192" t="s">
        <v>277</v>
      </c>
      <c r="F2" s="193" t="s">
        <v>211</v>
      </c>
      <c r="G2" s="192" t="s">
        <v>978</v>
      </c>
      <c r="H2" s="192" t="s">
        <v>278</v>
      </c>
      <c r="I2" s="194" t="s">
        <v>279</v>
      </c>
      <c r="J2" s="192" t="s">
        <v>979</v>
      </c>
    </row>
    <row r="3" spans="1:10" s="195" customFormat="1" ht="18" x14ac:dyDescent="0.25">
      <c r="A3" s="196">
        <v>1</v>
      </c>
      <c r="B3" s="297" t="s">
        <v>311</v>
      </c>
      <c r="C3" s="498">
        <v>414.19035220000001</v>
      </c>
      <c r="D3" s="496">
        <v>32509.26437148</v>
      </c>
      <c r="E3" s="497">
        <v>0.72474141855769525</v>
      </c>
      <c r="F3" s="497">
        <v>1.41</v>
      </c>
      <c r="G3" s="497">
        <v>0.26</v>
      </c>
      <c r="H3" s="497">
        <v>2.1136363636363638</v>
      </c>
      <c r="I3" s="497">
        <v>5.6676272814601267</v>
      </c>
      <c r="J3" s="197" t="s">
        <v>281</v>
      </c>
    </row>
    <row r="4" spans="1:10" s="195" customFormat="1" ht="18" x14ac:dyDescent="0.25">
      <c r="A4" s="196">
        <v>2</v>
      </c>
      <c r="B4" s="297" t="s">
        <v>294</v>
      </c>
      <c r="C4" s="498">
        <v>95.919779000000005</v>
      </c>
      <c r="D4" s="496">
        <v>63724.416834840005</v>
      </c>
      <c r="E4" s="497">
        <v>1.4206327072156166</v>
      </c>
      <c r="F4" s="497">
        <v>0.95</v>
      </c>
      <c r="G4" s="497">
        <v>0.28999999999999998</v>
      </c>
      <c r="H4" s="497">
        <v>1.3790909090909087</v>
      </c>
      <c r="I4" s="497">
        <v>-3.968592339941742</v>
      </c>
      <c r="J4" s="197" t="s">
        <v>281</v>
      </c>
    </row>
    <row r="5" spans="1:10" s="195" customFormat="1" ht="18" x14ac:dyDescent="0.25">
      <c r="A5" s="196">
        <v>3</v>
      </c>
      <c r="B5" s="297" t="s">
        <v>288</v>
      </c>
      <c r="C5" s="498">
        <v>514.50418660000003</v>
      </c>
      <c r="D5" s="496">
        <v>169796.75114169999</v>
      </c>
      <c r="E5" s="497">
        <v>3.7853436756594721</v>
      </c>
      <c r="F5" s="497">
        <v>1.1499999999999999</v>
      </c>
      <c r="G5" s="497">
        <v>0.3</v>
      </c>
      <c r="H5" s="497">
        <v>1.3740909090909088</v>
      </c>
      <c r="I5" s="497">
        <v>5.1280465173821517</v>
      </c>
      <c r="J5" s="197" t="s">
        <v>281</v>
      </c>
    </row>
    <row r="6" spans="1:10" s="195" customFormat="1" ht="18" x14ac:dyDescent="0.25">
      <c r="A6" s="196">
        <v>4</v>
      </c>
      <c r="B6" s="297" t="s">
        <v>307</v>
      </c>
      <c r="C6" s="498">
        <v>289.36702000000002</v>
      </c>
      <c r="D6" s="496">
        <v>35441.379885599999</v>
      </c>
      <c r="E6" s="497">
        <v>0.79010818702086039</v>
      </c>
      <c r="F6" s="497">
        <v>0.76</v>
      </c>
      <c r="G6" s="497">
        <v>0.15</v>
      </c>
      <c r="H6" s="497">
        <v>1.249090909090909</v>
      </c>
      <c r="I6" s="497">
        <v>-1.989131549266886</v>
      </c>
      <c r="J6" s="197" t="s">
        <v>281</v>
      </c>
    </row>
    <row r="7" spans="1:10" s="195" customFormat="1" ht="18" x14ac:dyDescent="0.25">
      <c r="A7" s="196">
        <v>5</v>
      </c>
      <c r="B7" s="297" t="s">
        <v>217</v>
      </c>
      <c r="C7" s="498">
        <v>115.5861776</v>
      </c>
      <c r="D7" s="496">
        <v>82858.288258200002</v>
      </c>
      <c r="E7" s="497">
        <v>1.847191393976672</v>
      </c>
      <c r="F7" s="497">
        <v>1.39</v>
      </c>
      <c r="G7" s="497">
        <v>0.27</v>
      </c>
      <c r="H7" s="497">
        <v>1.8799999999999997</v>
      </c>
      <c r="I7" s="497">
        <v>10.704911886014251</v>
      </c>
      <c r="J7" s="197" t="s">
        <v>281</v>
      </c>
    </row>
    <row r="8" spans="1:10" s="195" customFormat="1" ht="18" x14ac:dyDescent="0.25">
      <c r="A8" s="196">
        <v>6</v>
      </c>
      <c r="B8" s="297" t="s">
        <v>297</v>
      </c>
      <c r="C8" s="498">
        <v>2565.4954615000001</v>
      </c>
      <c r="D8" s="496">
        <v>58806.199169599997</v>
      </c>
      <c r="E8" s="497">
        <v>1.3109890066768681</v>
      </c>
      <c r="F8" s="497">
        <v>1.22</v>
      </c>
      <c r="G8" s="497">
        <v>0.2</v>
      </c>
      <c r="H8" s="497">
        <v>2.1236363636363631</v>
      </c>
      <c r="I8" s="497">
        <v>8.1708715596330279</v>
      </c>
      <c r="J8" s="197" t="s">
        <v>281</v>
      </c>
    </row>
    <row r="9" spans="1:10" s="195" customFormat="1" ht="18" x14ac:dyDescent="0.25">
      <c r="A9" s="196">
        <v>7</v>
      </c>
      <c r="B9" s="297" t="s">
        <v>313</v>
      </c>
      <c r="C9" s="498">
        <v>2169.2140439999998</v>
      </c>
      <c r="D9" s="496">
        <v>32423.753619390001</v>
      </c>
      <c r="E9" s="497">
        <v>0.72283509477677299</v>
      </c>
      <c r="F9" s="497">
        <v>1.5</v>
      </c>
      <c r="G9" s="497">
        <v>0.21</v>
      </c>
      <c r="H9" s="497">
        <v>2.4622727272727274</v>
      </c>
      <c r="I9" s="497">
        <v>7.2065469647001335</v>
      </c>
      <c r="J9" s="197" t="s">
        <v>281</v>
      </c>
    </row>
    <row r="10" spans="1:10" s="195" customFormat="1" ht="18" x14ac:dyDescent="0.25">
      <c r="A10" s="196">
        <v>8</v>
      </c>
      <c r="B10" s="297" t="s">
        <v>303</v>
      </c>
      <c r="C10" s="498">
        <v>6162.7283269999998</v>
      </c>
      <c r="D10" s="496">
        <v>45369.1876911</v>
      </c>
      <c r="E10" s="497">
        <v>1.0114325895022158</v>
      </c>
      <c r="F10" s="497">
        <v>0.45</v>
      </c>
      <c r="G10" s="497">
        <v>0.06</v>
      </c>
      <c r="H10" s="497">
        <v>1.2681818181818181</v>
      </c>
      <c r="I10" s="497">
        <v>0.53254437869822258</v>
      </c>
      <c r="J10" s="197" t="s">
        <v>281</v>
      </c>
    </row>
    <row r="11" spans="1:10" s="195" customFormat="1" ht="18" x14ac:dyDescent="0.25">
      <c r="A11" s="196">
        <v>9</v>
      </c>
      <c r="B11" s="297" t="s">
        <v>308</v>
      </c>
      <c r="C11" s="498">
        <v>85.544782499999997</v>
      </c>
      <c r="D11" s="496">
        <v>33857.681491935</v>
      </c>
      <c r="E11" s="497">
        <v>0.75480219524950409</v>
      </c>
      <c r="F11" s="497">
        <v>0.28000000000000003</v>
      </c>
      <c r="G11" s="497">
        <v>0.02</v>
      </c>
      <c r="H11" s="497">
        <v>1.4177272727272725</v>
      </c>
      <c r="I11" s="497">
        <v>-9.535721619653895</v>
      </c>
      <c r="J11" s="197" t="s">
        <v>281</v>
      </c>
    </row>
    <row r="12" spans="1:10" s="195" customFormat="1" ht="18" x14ac:dyDescent="0.25">
      <c r="A12" s="196">
        <v>10</v>
      </c>
      <c r="B12" s="297" t="s">
        <v>314</v>
      </c>
      <c r="C12" s="498">
        <v>27.288049000000001</v>
      </c>
      <c r="D12" s="496">
        <v>27580.044402824999</v>
      </c>
      <c r="E12" s="497">
        <v>0.61485243947639756</v>
      </c>
      <c r="F12" s="497">
        <v>1.37</v>
      </c>
      <c r="G12" s="497">
        <v>0.25</v>
      </c>
      <c r="H12" s="497">
        <v>2.1513636363636364</v>
      </c>
      <c r="I12" s="497">
        <v>-2.1082578235640574</v>
      </c>
      <c r="J12" s="197" t="s">
        <v>281</v>
      </c>
    </row>
    <row r="13" spans="1:10" s="195" customFormat="1" ht="18" x14ac:dyDescent="0.25">
      <c r="A13" s="196">
        <v>11</v>
      </c>
      <c r="B13" s="297" t="s">
        <v>309</v>
      </c>
      <c r="C13" s="498">
        <v>131.52180799999999</v>
      </c>
      <c r="D13" s="496">
        <v>34756.636191590005</v>
      </c>
      <c r="E13" s="497">
        <v>0.77484293492304279</v>
      </c>
      <c r="F13" s="497">
        <v>1.23</v>
      </c>
      <c r="G13" s="497">
        <v>0.27</v>
      </c>
      <c r="H13" s="497">
        <v>1.9904545454545453</v>
      </c>
      <c r="I13" s="497">
        <v>-1.7040966030922045</v>
      </c>
      <c r="J13" s="197" t="s">
        <v>281</v>
      </c>
    </row>
    <row r="14" spans="1:10" s="195" customFormat="1" ht="18" x14ac:dyDescent="0.25">
      <c r="A14" s="196">
        <v>12</v>
      </c>
      <c r="B14" s="297" t="s">
        <v>293</v>
      </c>
      <c r="C14" s="498">
        <v>271.2557736</v>
      </c>
      <c r="D14" s="496">
        <v>59266.599061529996</v>
      </c>
      <c r="E14" s="497">
        <v>1.3212528769068534</v>
      </c>
      <c r="F14" s="497">
        <v>0.56999999999999995</v>
      </c>
      <c r="G14" s="497">
        <v>0.08</v>
      </c>
      <c r="H14" s="497">
        <v>1.5736363636363639</v>
      </c>
      <c r="I14" s="497">
        <v>-8.310832456180492</v>
      </c>
      <c r="J14" s="197" t="s">
        <v>281</v>
      </c>
    </row>
    <row r="15" spans="1:10" s="195" customFormat="1" ht="18" x14ac:dyDescent="0.25">
      <c r="A15" s="196">
        <v>13</v>
      </c>
      <c r="B15" s="297" t="s">
        <v>213</v>
      </c>
      <c r="C15" s="498">
        <v>344.38333820000003</v>
      </c>
      <c r="D15" s="496">
        <v>375710.98791568499</v>
      </c>
      <c r="E15" s="497">
        <v>8.3758682213863445</v>
      </c>
      <c r="F15" s="497">
        <v>1.22</v>
      </c>
      <c r="G15" s="497">
        <v>0.44</v>
      </c>
      <c r="H15" s="497">
        <v>1.4840909090909093</v>
      </c>
      <c r="I15" s="497">
        <v>8.5950564680548922</v>
      </c>
      <c r="J15" s="197" t="s">
        <v>281</v>
      </c>
    </row>
    <row r="16" spans="1:10" s="195" customFormat="1" ht="18" x14ac:dyDescent="0.25">
      <c r="A16" s="196">
        <v>14</v>
      </c>
      <c r="B16" s="297" t="s">
        <v>280</v>
      </c>
      <c r="C16" s="498">
        <v>545.00882760000002</v>
      </c>
      <c r="D16" s="496">
        <v>519687.31668523495</v>
      </c>
      <c r="E16" s="497">
        <v>11.585587382017797</v>
      </c>
      <c r="F16" s="497">
        <v>0.7</v>
      </c>
      <c r="G16" s="497">
        <v>0.32</v>
      </c>
      <c r="H16" s="497">
        <v>1.1295454545454546</v>
      </c>
      <c r="I16" s="497">
        <v>4.4488424351124625</v>
      </c>
      <c r="J16" s="197" t="s">
        <v>281</v>
      </c>
    </row>
    <row r="17" spans="1:10" s="195" customFormat="1" ht="18" x14ac:dyDescent="0.25">
      <c r="A17" s="196">
        <v>15</v>
      </c>
      <c r="B17" s="297" t="s">
        <v>219</v>
      </c>
      <c r="C17" s="498">
        <v>39.945376799999998</v>
      </c>
      <c r="D17" s="496">
        <v>34993.558956050001</v>
      </c>
      <c r="E17" s="497">
        <v>0.7801247443925301</v>
      </c>
      <c r="F17" s="497">
        <v>0.96</v>
      </c>
      <c r="G17" s="497">
        <v>0.19</v>
      </c>
      <c r="H17" s="497">
        <v>1.6304545454545456</v>
      </c>
      <c r="I17" s="497">
        <v>6.2829959891801161</v>
      </c>
      <c r="J17" s="197" t="s">
        <v>281</v>
      </c>
    </row>
    <row r="18" spans="1:10" s="195" customFormat="1" ht="18" x14ac:dyDescent="0.25">
      <c r="A18" s="196">
        <v>16</v>
      </c>
      <c r="B18" s="297" t="s">
        <v>312</v>
      </c>
      <c r="C18" s="498">
        <v>224.55857610000001</v>
      </c>
      <c r="D18" s="496">
        <v>28816.317746199999</v>
      </c>
      <c r="E18" s="497">
        <v>0.64241315221244744</v>
      </c>
      <c r="F18" s="497">
        <v>1.36</v>
      </c>
      <c r="G18" s="497">
        <v>0.26</v>
      </c>
      <c r="H18" s="497">
        <v>1.835454545454545</v>
      </c>
      <c r="I18" s="497">
        <v>-4.5939086294416303</v>
      </c>
      <c r="J18" s="197" t="s">
        <v>281</v>
      </c>
    </row>
    <row r="19" spans="1:10" s="195" customFormat="1" ht="18" x14ac:dyDescent="0.25">
      <c r="A19" s="196">
        <v>17</v>
      </c>
      <c r="B19" s="297" t="s">
        <v>289</v>
      </c>
      <c r="C19" s="498">
        <v>216.4801037</v>
      </c>
      <c r="D19" s="496">
        <v>127035.64318095001</v>
      </c>
      <c r="E19" s="497">
        <v>2.8320540014163194</v>
      </c>
      <c r="F19" s="497">
        <v>0.7</v>
      </c>
      <c r="G19" s="497">
        <v>0.19</v>
      </c>
      <c r="H19" s="497">
        <v>1.0659090909090911</v>
      </c>
      <c r="I19" s="497">
        <v>1.722113502935418</v>
      </c>
      <c r="J19" s="197" t="s">
        <v>281</v>
      </c>
    </row>
    <row r="20" spans="1:10" s="195" customFormat="1" ht="18" x14ac:dyDescent="0.25">
      <c r="A20" s="196">
        <v>18</v>
      </c>
      <c r="B20" s="297" t="s">
        <v>283</v>
      </c>
      <c r="C20" s="498">
        <v>1289.7281402000001</v>
      </c>
      <c r="D20" s="496">
        <v>273127.11486435001</v>
      </c>
      <c r="E20" s="497">
        <v>6.0889268490189465</v>
      </c>
      <c r="F20" s="497">
        <v>1.33</v>
      </c>
      <c r="G20" s="497">
        <v>0.35</v>
      </c>
      <c r="H20" s="497">
        <v>1.8686363636363641</v>
      </c>
      <c r="I20" s="497">
        <v>3.8234599952796766</v>
      </c>
      <c r="J20" s="197" t="s">
        <v>281</v>
      </c>
    </row>
    <row r="21" spans="1:10" s="195" customFormat="1" ht="18" x14ac:dyDescent="0.25">
      <c r="A21" s="196">
        <v>19</v>
      </c>
      <c r="B21" s="297" t="s">
        <v>292</v>
      </c>
      <c r="C21" s="498">
        <v>602.96834200000001</v>
      </c>
      <c r="D21" s="496">
        <v>81175.422388139996</v>
      </c>
      <c r="E21" s="497">
        <v>1.8096746238654542</v>
      </c>
      <c r="F21" s="497">
        <v>1.17</v>
      </c>
      <c r="G21" s="497">
        <v>0.25</v>
      </c>
      <c r="H21" s="497">
        <v>2.7240909090909096</v>
      </c>
      <c r="I21" s="497">
        <v>-7.1635468900868415E-2</v>
      </c>
      <c r="J21" s="197" t="s">
        <v>281</v>
      </c>
    </row>
    <row r="22" spans="1:10" s="195" customFormat="1" ht="18" x14ac:dyDescent="0.25">
      <c r="A22" s="196">
        <v>20</v>
      </c>
      <c r="B22" s="297" t="s">
        <v>282</v>
      </c>
      <c r="C22" s="498">
        <v>2182.684722</v>
      </c>
      <c r="D22" s="496">
        <v>279228.20319809997</v>
      </c>
      <c r="E22" s="497">
        <v>6.2249407361134468</v>
      </c>
      <c r="F22" s="497">
        <v>0.56999999999999995</v>
      </c>
      <c r="G22" s="497">
        <v>0.1</v>
      </c>
      <c r="H22" s="497">
        <v>1.24</v>
      </c>
      <c r="I22" s="497">
        <v>-1.8434429007116262</v>
      </c>
      <c r="J22" s="197" t="s">
        <v>281</v>
      </c>
    </row>
    <row r="23" spans="1:10" s="195" customFormat="1" ht="18" x14ac:dyDescent="0.25">
      <c r="A23" s="196">
        <v>21</v>
      </c>
      <c r="B23" s="297" t="s">
        <v>306</v>
      </c>
      <c r="C23" s="498">
        <v>9414.1589220000005</v>
      </c>
      <c r="D23" s="496">
        <v>40316.147396524997</v>
      </c>
      <c r="E23" s="497">
        <v>0.89878323671242333</v>
      </c>
      <c r="F23" s="497">
        <v>1.34</v>
      </c>
      <c r="G23" s="497">
        <v>0.2</v>
      </c>
      <c r="H23" s="497">
        <v>2.1377272727272723</v>
      </c>
      <c r="I23" s="497">
        <v>4.530353367562669</v>
      </c>
      <c r="J23" s="197" t="s">
        <v>281</v>
      </c>
    </row>
    <row r="24" spans="1:10" s="195" customFormat="1" ht="18" x14ac:dyDescent="0.25">
      <c r="A24" s="196">
        <v>22</v>
      </c>
      <c r="B24" s="297" t="s">
        <v>284</v>
      </c>
      <c r="C24" s="498">
        <v>1225.4252681999999</v>
      </c>
      <c r="D24" s="496">
        <v>240516.2253429</v>
      </c>
      <c r="E24" s="497">
        <v>5.3619198622678645</v>
      </c>
      <c r="F24" s="497">
        <v>0.89</v>
      </c>
      <c r="G24" s="497">
        <v>0.31</v>
      </c>
      <c r="H24" s="497">
        <v>1.2145454545454544</v>
      </c>
      <c r="I24" s="497">
        <v>-8.185245018847608</v>
      </c>
      <c r="J24" s="197" t="s">
        <v>281</v>
      </c>
    </row>
    <row r="25" spans="1:10" s="195" customFormat="1" ht="18" x14ac:dyDescent="0.25">
      <c r="A25" s="196">
        <v>23</v>
      </c>
      <c r="B25" s="297" t="s">
        <v>286</v>
      </c>
      <c r="C25" s="498">
        <v>954.45871199999999</v>
      </c>
      <c r="D25" s="496">
        <v>198422.85427474999</v>
      </c>
      <c r="E25" s="497">
        <v>4.4235163010181138</v>
      </c>
      <c r="F25" s="497">
        <v>0.91</v>
      </c>
      <c r="G25" s="497">
        <v>0.24</v>
      </c>
      <c r="H25" s="497">
        <v>1.1581818181818182</v>
      </c>
      <c r="I25" s="497">
        <v>8.9084518608547203</v>
      </c>
      <c r="J25" s="197" t="s">
        <v>281</v>
      </c>
    </row>
    <row r="26" spans="1:10" s="195" customFormat="1" ht="18" x14ac:dyDescent="0.25">
      <c r="A26" s="196">
        <v>24</v>
      </c>
      <c r="B26" s="297" t="s">
        <v>287</v>
      </c>
      <c r="C26" s="498">
        <v>280.50692800000002</v>
      </c>
      <c r="D26" s="496">
        <v>191629.87797525502</v>
      </c>
      <c r="E26" s="497">
        <v>4.2720778918536224</v>
      </c>
      <c r="F26" s="497">
        <v>1.03</v>
      </c>
      <c r="G26" s="497">
        <v>0.35</v>
      </c>
      <c r="H26" s="497">
        <v>1.4759090909090906</v>
      </c>
      <c r="I26" s="497">
        <v>13.418509839170492</v>
      </c>
      <c r="J26" s="197" t="s">
        <v>281</v>
      </c>
    </row>
    <row r="27" spans="1:10" s="195" customFormat="1" ht="18" x14ac:dyDescent="0.25">
      <c r="A27" s="196">
        <v>25</v>
      </c>
      <c r="B27" s="297" t="s">
        <v>295</v>
      </c>
      <c r="C27" s="498">
        <v>621.596272</v>
      </c>
      <c r="D27" s="496">
        <v>60393.788284169997</v>
      </c>
      <c r="E27" s="497">
        <v>1.3463817357719507</v>
      </c>
      <c r="F27" s="497">
        <v>1.25</v>
      </c>
      <c r="G27" s="497">
        <v>0.36</v>
      </c>
      <c r="H27" s="497">
        <v>1.4609090909090909</v>
      </c>
      <c r="I27" s="497">
        <v>0.27045823352136622</v>
      </c>
      <c r="J27" s="197" t="s">
        <v>281</v>
      </c>
    </row>
    <row r="28" spans="1:10" s="195" customFormat="1" ht="18" x14ac:dyDescent="0.25">
      <c r="A28" s="196">
        <v>26</v>
      </c>
      <c r="B28" s="297" t="s">
        <v>291</v>
      </c>
      <c r="C28" s="498">
        <v>151.04003</v>
      </c>
      <c r="D28" s="496">
        <v>90882.358565699993</v>
      </c>
      <c r="E28" s="497">
        <v>2.026075050980181</v>
      </c>
      <c r="F28" s="497">
        <v>1.18</v>
      </c>
      <c r="G28" s="497">
        <v>0.32</v>
      </c>
      <c r="H28" s="497">
        <v>1.6199999999999997</v>
      </c>
      <c r="I28" s="497">
        <v>2.9614911533730828</v>
      </c>
      <c r="J28" s="197" t="s">
        <v>281</v>
      </c>
    </row>
    <row r="29" spans="1:10" s="195" customFormat="1" ht="18" x14ac:dyDescent="0.25">
      <c r="A29" s="196">
        <v>27</v>
      </c>
      <c r="B29" s="297" t="s">
        <v>296</v>
      </c>
      <c r="C29" s="498">
        <v>9894.5572800000009</v>
      </c>
      <c r="D29" s="496">
        <v>57889.622745175002</v>
      </c>
      <c r="E29" s="497">
        <v>1.2905554191781279</v>
      </c>
      <c r="F29" s="497">
        <v>0.69</v>
      </c>
      <c r="G29" s="497">
        <v>0.15</v>
      </c>
      <c r="H29" s="497">
        <v>1.5336363636363637</v>
      </c>
      <c r="I29" s="497">
        <v>-0.60037523452158448</v>
      </c>
      <c r="J29" s="197" t="s">
        <v>281</v>
      </c>
    </row>
    <row r="30" spans="1:10" s="195" customFormat="1" ht="18" x14ac:dyDescent="0.25">
      <c r="A30" s="196">
        <v>28</v>
      </c>
      <c r="B30" s="297" t="s">
        <v>299</v>
      </c>
      <c r="C30" s="498">
        <v>6290.1396029999996</v>
      </c>
      <c r="D30" s="496">
        <v>55063.669587190001</v>
      </c>
      <c r="E30" s="497">
        <v>1.227555368574325</v>
      </c>
      <c r="F30" s="497">
        <v>0.98</v>
      </c>
      <c r="G30" s="497">
        <v>0.18</v>
      </c>
      <c r="H30" s="497">
        <v>1.6213636363636361</v>
      </c>
      <c r="I30" s="497">
        <v>1.5993021227100903</v>
      </c>
      <c r="J30" s="197" t="s">
        <v>281</v>
      </c>
    </row>
    <row r="31" spans="1:10" s="195" customFormat="1" ht="18" x14ac:dyDescent="0.25">
      <c r="A31" s="196">
        <v>29</v>
      </c>
      <c r="B31" s="297" t="s">
        <v>304</v>
      </c>
      <c r="C31" s="498">
        <v>5231.5896480000001</v>
      </c>
      <c r="D31" s="496">
        <v>44203.323854580005</v>
      </c>
      <c r="E31" s="497">
        <v>0.98544154273260998</v>
      </c>
      <c r="F31" s="497">
        <v>0.63</v>
      </c>
      <c r="G31" s="497">
        <v>0.14000000000000001</v>
      </c>
      <c r="H31" s="497">
        <v>1.2631818181818186</v>
      </c>
      <c r="I31" s="497">
        <v>1.5319598520866378</v>
      </c>
      <c r="J31" s="197" t="s">
        <v>281</v>
      </c>
    </row>
    <row r="32" spans="1:10" s="195" customFormat="1" ht="18" x14ac:dyDescent="0.25">
      <c r="A32" s="196">
        <v>30</v>
      </c>
      <c r="B32" s="297" t="s">
        <v>212</v>
      </c>
      <c r="C32" s="498">
        <v>6339.0384299999996</v>
      </c>
      <c r="D32" s="496">
        <v>431057.13052752003</v>
      </c>
      <c r="E32" s="497">
        <v>9.6097208687377655</v>
      </c>
      <c r="F32" s="497">
        <v>1.46</v>
      </c>
      <c r="G32" s="497">
        <v>0.45</v>
      </c>
      <c r="H32" s="497">
        <v>1.7463636363636361</v>
      </c>
      <c r="I32" s="497">
        <v>-4.709995113333072</v>
      </c>
      <c r="J32" s="197" t="s">
        <v>281</v>
      </c>
    </row>
    <row r="33" spans="1:11" s="195" customFormat="1" ht="18" x14ac:dyDescent="0.25">
      <c r="A33" s="196">
        <v>31</v>
      </c>
      <c r="B33" s="297" t="s">
        <v>290</v>
      </c>
      <c r="C33" s="498">
        <v>892.46115339999994</v>
      </c>
      <c r="D33" s="496">
        <v>134699.6278395</v>
      </c>
      <c r="E33" s="497">
        <v>3.0029101318341689</v>
      </c>
      <c r="F33" s="497">
        <v>1.44</v>
      </c>
      <c r="G33" s="497">
        <v>0.4</v>
      </c>
      <c r="H33" s="497">
        <v>1.8113636363636363</v>
      </c>
      <c r="I33" s="497">
        <v>12.070921985815607</v>
      </c>
      <c r="J33" s="197" t="s">
        <v>281</v>
      </c>
    </row>
    <row r="34" spans="1:11" s="195" customFormat="1" ht="18" x14ac:dyDescent="0.25">
      <c r="A34" s="196">
        <v>32</v>
      </c>
      <c r="B34" s="297" t="s">
        <v>300</v>
      </c>
      <c r="C34" s="498">
        <v>239.92753300000001</v>
      </c>
      <c r="D34" s="496">
        <v>44854.801609765003</v>
      </c>
      <c r="E34" s="497">
        <v>0.99996518457994044</v>
      </c>
      <c r="F34" s="497">
        <v>0.84</v>
      </c>
      <c r="G34" s="497">
        <v>0.09</v>
      </c>
      <c r="H34" s="497">
        <v>2.1995454545454542</v>
      </c>
      <c r="I34" s="497">
        <v>-11.66280346468219</v>
      </c>
      <c r="J34" s="197" t="s">
        <v>281</v>
      </c>
    </row>
    <row r="35" spans="1:11" s="195" customFormat="1" ht="18" x14ac:dyDescent="0.25">
      <c r="A35" s="196">
        <v>33</v>
      </c>
      <c r="B35" s="297" t="s">
        <v>305</v>
      </c>
      <c r="C35" s="498">
        <v>577.46973879999996</v>
      </c>
      <c r="D35" s="496">
        <v>30712.80582138</v>
      </c>
      <c r="E35" s="497">
        <v>0.68469228354491485</v>
      </c>
      <c r="F35" s="497">
        <v>1.7</v>
      </c>
      <c r="G35" s="497">
        <v>0.25</v>
      </c>
      <c r="H35" s="497">
        <v>3.4463636363636363</v>
      </c>
      <c r="I35" s="497">
        <v>-24.159907300115886</v>
      </c>
      <c r="J35" s="197" t="s">
        <v>281</v>
      </c>
    </row>
    <row r="36" spans="1:11" s="195" customFormat="1" ht="18" x14ac:dyDescent="0.25">
      <c r="A36" s="196">
        <v>34</v>
      </c>
      <c r="B36" s="297" t="s">
        <v>302</v>
      </c>
      <c r="C36" s="498">
        <v>1126.4917600000001</v>
      </c>
      <c r="D36" s="496">
        <v>37433.622893970001</v>
      </c>
      <c r="E36" s="497">
        <v>0.83452201956714234</v>
      </c>
      <c r="F36" s="497">
        <v>1.27</v>
      </c>
      <c r="G36" s="497">
        <v>0.26</v>
      </c>
      <c r="H36" s="497">
        <v>2.4277272727272727</v>
      </c>
      <c r="I36" s="497">
        <v>-14.11017816915831</v>
      </c>
      <c r="J36" s="197" t="s">
        <v>281</v>
      </c>
    </row>
    <row r="37" spans="1:11" s="195" customFormat="1" ht="18" x14ac:dyDescent="0.25">
      <c r="A37" s="196">
        <v>35</v>
      </c>
      <c r="B37" s="297" t="s">
        <v>285</v>
      </c>
      <c r="C37" s="498">
        <v>375.23847060000003</v>
      </c>
      <c r="D37" s="496">
        <v>230383.54458643004</v>
      </c>
      <c r="E37" s="497">
        <v>5.1360281490220023</v>
      </c>
      <c r="F37" s="497">
        <v>0.56999999999999995</v>
      </c>
      <c r="G37" s="497">
        <v>0.09</v>
      </c>
      <c r="H37" s="497">
        <v>1.5790909090909091</v>
      </c>
      <c r="I37" s="497">
        <v>-2.9045548701372481</v>
      </c>
      <c r="J37" s="197" t="s">
        <v>281</v>
      </c>
    </row>
    <row r="38" spans="1:11" s="195" customFormat="1" ht="18" x14ac:dyDescent="0.25">
      <c r="A38" s="196">
        <v>36</v>
      </c>
      <c r="B38" s="297" t="s">
        <v>298</v>
      </c>
      <c r="C38" s="498">
        <v>492.10677099999998</v>
      </c>
      <c r="D38" s="496">
        <v>47945.779097129998</v>
      </c>
      <c r="E38" s="497">
        <v>1.0688735235483262</v>
      </c>
      <c r="F38" s="497">
        <v>0.63</v>
      </c>
      <c r="G38" s="497">
        <v>0.08</v>
      </c>
      <c r="H38" s="497">
        <v>1.2459090909090909</v>
      </c>
      <c r="I38" s="497">
        <v>-9.962517261787335</v>
      </c>
      <c r="J38" s="197" t="s">
        <v>281</v>
      </c>
    </row>
    <row r="39" spans="1:11" s="195" customFormat="1" ht="18" x14ac:dyDescent="0.25">
      <c r="A39" s="196">
        <v>37</v>
      </c>
      <c r="B39" s="297" t="s">
        <v>980</v>
      </c>
      <c r="C39" s="498">
        <v>88.778616</v>
      </c>
      <c r="D39" s="496">
        <v>51664.759958000002</v>
      </c>
      <c r="E39" s="497">
        <v>1.151782181028143</v>
      </c>
      <c r="F39" s="497">
        <v>0.84</v>
      </c>
      <c r="G39" s="497">
        <v>0.16</v>
      </c>
      <c r="H39" s="497">
        <v>1.5813636363636367</v>
      </c>
      <c r="I39" s="497">
        <v>6.2472182884887753</v>
      </c>
      <c r="J39" s="197" t="s">
        <v>281</v>
      </c>
    </row>
    <row r="40" spans="1:11" s="195" customFormat="1" ht="18" x14ac:dyDescent="0.25">
      <c r="A40" s="196">
        <v>38</v>
      </c>
      <c r="B40" s="297" t="s">
        <v>220</v>
      </c>
      <c r="C40" s="498">
        <v>371.7196639</v>
      </c>
      <c r="D40" s="496">
        <v>29518.388237195002</v>
      </c>
      <c r="E40" s="497">
        <v>0.65806467719797124</v>
      </c>
      <c r="F40" s="497">
        <v>1.28</v>
      </c>
      <c r="G40" s="497">
        <v>0.18</v>
      </c>
      <c r="H40" s="497">
        <v>2.143636363636364</v>
      </c>
      <c r="I40" s="497">
        <v>-3.9240112114605932</v>
      </c>
      <c r="J40" s="197" t="s">
        <v>281</v>
      </c>
    </row>
    <row r="41" spans="1:11" s="195" customFormat="1" ht="18" x14ac:dyDescent="0.25">
      <c r="A41" s="196">
        <v>39</v>
      </c>
      <c r="B41" s="297" t="s">
        <v>301</v>
      </c>
      <c r="C41" s="498">
        <v>1207.0473496</v>
      </c>
      <c r="D41" s="496">
        <v>44426.828244799995</v>
      </c>
      <c r="E41" s="497">
        <v>0.99042421127198221</v>
      </c>
      <c r="F41" s="497">
        <v>0.47</v>
      </c>
      <c r="G41" s="497">
        <v>7.0000000000000007E-2</v>
      </c>
      <c r="H41" s="497">
        <v>1.2759090909090907</v>
      </c>
      <c r="I41" s="497">
        <v>-4.2423184357542016</v>
      </c>
      <c r="J41" s="197" t="s">
        <v>281</v>
      </c>
    </row>
    <row r="42" spans="1:11" s="195" customFormat="1" ht="18" x14ac:dyDescent="0.25">
      <c r="A42" s="196">
        <v>40</v>
      </c>
      <c r="B42" s="297" t="s">
        <v>310</v>
      </c>
      <c r="C42" s="498">
        <v>463.37289759999999</v>
      </c>
      <c r="D42" s="496">
        <v>27456.406393140001</v>
      </c>
      <c r="E42" s="497">
        <v>0.61209613021320286</v>
      </c>
      <c r="F42" s="497">
        <v>1.1200000000000001</v>
      </c>
      <c r="G42" s="497">
        <v>0.04</v>
      </c>
      <c r="H42" s="497">
        <v>7.03318181818182</v>
      </c>
      <c r="I42" s="497">
        <v>-13.667117726657638</v>
      </c>
      <c r="J42" s="197" t="s">
        <v>281</v>
      </c>
    </row>
    <row r="43" spans="1:11" s="4" customFormat="1" ht="18" customHeight="1" x14ac:dyDescent="0.2">
      <c r="A43" s="648" t="s">
        <v>315</v>
      </c>
      <c r="B43" s="648"/>
      <c r="C43" s="648"/>
      <c r="D43" s="648"/>
      <c r="E43" s="648"/>
      <c r="F43" s="648"/>
      <c r="G43" s="648"/>
      <c r="H43" s="648"/>
      <c r="I43" s="648"/>
      <c r="J43" s="648"/>
      <c r="K43" s="648"/>
    </row>
    <row r="44" spans="1:11" s="4" customFormat="1" ht="18" customHeight="1" x14ac:dyDescent="0.2">
      <c r="A44" s="648" t="s">
        <v>316</v>
      </c>
      <c r="B44" s="648"/>
      <c r="C44" s="648"/>
      <c r="D44" s="648"/>
      <c r="E44" s="648"/>
      <c r="F44" s="648"/>
      <c r="G44" s="648"/>
      <c r="H44" s="648"/>
      <c r="I44" s="648"/>
      <c r="J44" s="648"/>
      <c r="K44" s="648"/>
    </row>
    <row r="45" spans="1:11" s="4" customFormat="1" ht="18" customHeight="1" x14ac:dyDescent="0.2">
      <c r="A45" s="648" t="s">
        <v>317</v>
      </c>
      <c r="B45" s="648"/>
      <c r="C45" s="648"/>
      <c r="D45" s="648"/>
      <c r="E45" s="648"/>
      <c r="F45" s="648"/>
      <c r="G45" s="648"/>
      <c r="H45" s="648"/>
      <c r="I45" s="648"/>
      <c r="J45" s="648"/>
      <c r="K45" s="648"/>
    </row>
    <row r="46" spans="1:11" s="4" customFormat="1" ht="18" customHeight="1" x14ac:dyDescent="0.2">
      <c r="A46" s="648" t="s">
        <v>318</v>
      </c>
      <c r="B46" s="648"/>
      <c r="C46" s="648"/>
      <c r="D46" s="648"/>
      <c r="E46" s="648"/>
      <c r="F46" s="648"/>
      <c r="G46" s="648"/>
      <c r="H46" s="648"/>
      <c r="I46" s="648"/>
      <c r="J46" s="648"/>
      <c r="K46" s="648"/>
    </row>
    <row r="47" spans="1:11" s="4" customFormat="1" ht="18" customHeight="1" x14ac:dyDescent="0.2">
      <c r="A47" s="648" t="s">
        <v>319</v>
      </c>
      <c r="B47" s="648"/>
      <c r="C47" s="648"/>
      <c r="D47" s="648"/>
      <c r="E47" s="648"/>
      <c r="F47" s="648"/>
      <c r="G47" s="648"/>
      <c r="H47" s="648"/>
      <c r="I47" s="648"/>
      <c r="J47" s="648"/>
      <c r="K47" s="648"/>
    </row>
    <row r="48" spans="1:11" s="4" customFormat="1" ht="28.35" customHeight="1" x14ac:dyDescent="0.2"/>
  </sheetData>
  <mergeCells count="6">
    <mergeCell ref="A1:J1"/>
    <mergeCell ref="A47:K47"/>
    <mergeCell ref="A43:K43"/>
    <mergeCell ref="A44:K44"/>
    <mergeCell ref="A45:K45"/>
    <mergeCell ref="A46:K46"/>
  </mergeCell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zoomScaleNormal="100" workbookViewId="0">
      <selection activeCell="A8" sqref="A8:F8"/>
    </sheetView>
  </sheetViews>
  <sheetFormatPr defaultRowHeight="15" x14ac:dyDescent="0.25"/>
  <cols>
    <col min="1" max="10" width="10.7109375" style="123" bestFit="1" customWidth="1"/>
    <col min="11" max="11" width="4.7109375" style="123" bestFit="1" customWidth="1"/>
    <col min="12" max="16384" width="9.140625" style="123"/>
  </cols>
  <sheetData>
    <row r="1" spans="1:10" ht="15.75" customHeight="1" x14ac:dyDescent="0.25">
      <c r="A1" s="574" t="str">
        <f>'Data Summary'!$A$30</f>
        <v>Table 28:  Advances/Declines in Cash Segment</v>
      </c>
      <c r="B1" s="574"/>
      <c r="C1" s="574"/>
      <c r="D1" s="574"/>
      <c r="E1" s="574"/>
      <c r="F1" s="574"/>
      <c r="G1" s="574"/>
    </row>
    <row r="2" spans="1:10" s="125" customFormat="1" ht="15" customHeight="1" x14ac:dyDescent="0.2">
      <c r="A2" s="591" t="s">
        <v>82</v>
      </c>
      <c r="B2" s="621" t="s">
        <v>129</v>
      </c>
      <c r="C2" s="634"/>
      <c r="D2" s="622"/>
      <c r="E2" s="621" t="s">
        <v>130</v>
      </c>
      <c r="F2" s="634"/>
      <c r="G2" s="622"/>
      <c r="H2" s="621" t="s">
        <v>131</v>
      </c>
      <c r="I2" s="634"/>
      <c r="J2" s="622"/>
    </row>
    <row r="3" spans="1:10" s="125" customFormat="1" ht="44.25" customHeight="1" x14ac:dyDescent="0.2">
      <c r="A3" s="592"/>
      <c r="B3" s="124" t="s">
        <v>320</v>
      </c>
      <c r="C3" s="124" t="s">
        <v>321</v>
      </c>
      <c r="D3" s="124" t="s">
        <v>322</v>
      </c>
      <c r="E3" s="124" t="s">
        <v>320</v>
      </c>
      <c r="F3" s="124" t="s">
        <v>321</v>
      </c>
      <c r="G3" s="124" t="s">
        <v>322</v>
      </c>
      <c r="H3" s="124" t="s">
        <v>320</v>
      </c>
      <c r="I3" s="124" t="s">
        <v>321</v>
      </c>
      <c r="J3" s="124" t="s">
        <v>322</v>
      </c>
    </row>
    <row r="4" spans="1:10" s="125" customFormat="1" ht="15.75" customHeight="1" x14ac:dyDescent="0.25">
      <c r="A4" s="209" t="s">
        <v>5</v>
      </c>
      <c r="B4" s="149">
        <v>1156</v>
      </c>
      <c r="C4" s="149">
        <v>2730</v>
      </c>
      <c r="D4" s="171">
        <v>0.42344322299999998</v>
      </c>
      <c r="E4" s="149">
        <v>585</v>
      </c>
      <c r="F4" s="149">
        <v>1294</v>
      </c>
      <c r="G4" s="171">
        <v>0.45</v>
      </c>
      <c r="H4" s="126">
        <v>2</v>
      </c>
      <c r="I4" s="126">
        <v>5</v>
      </c>
      <c r="J4" s="172">
        <v>0.4</v>
      </c>
    </row>
    <row r="5" spans="1:10" s="125" customFormat="1" ht="15.75" customHeight="1" x14ac:dyDescent="0.25">
      <c r="A5" s="209" t="s">
        <v>6</v>
      </c>
      <c r="B5" s="149">
        <v>941</v>
      </c>
      <c r="C5" s="149">
        <v>2761</v>
      </c>
      <c r="D5" s="171">
        <f>B5/C5</f>
        <v>0.34081854400579498</v>
      </c>
      <c r="E5" s="149">
        <v>361</v>
      </c>
      <c r="F5" s="149">
        <v>1461</v>
      </c>
      <c r="G5" s="171">
        <v>0.24709103353867215</v>
      </c>
      <c r="H5" s="126">
        <v>2</v>
      </c>
      <c r="I5" s="126">
        <v>3</v>
      </c>
      <c r="J5" s="172">
        <f>H5/I5</f>
        <v>0.66666666666666663</v>
      </c>
    </row>
    <row r="6" spans="1:10" s="125" customFormat="1" ht="15.75" customHeight="1" x14ac:dyDescent="0.25">
      <c r="A6" s="157" t="s">
        <v>70</v>
      </c>
      <c r="B6" s="149">
        <v>1541</v>
      </c>
      <c r="C6" s="149">
        <v>1921</v>
      </c>
      <c r="D6" s="171">
        <v>0.80218636099999996</v>
      </c>
      <c r="E6" s="149">
        <v>879</v>
      </c>
      <c r="F6" s="149">
        <v>1040</v>
      </c>
      <c r="G6" s="171">
        <v>0.85</v>
      </c>
      <c r="H6" s="126">
        <v>2</v>
      </c>
      <c r="I6" s="126">
        <v>2</v>
      </c>
      <c r="J6" s="172">
        <v>1</v>
      </c>
    </row>
    <row r="7" spans="1:10" s="125" customFormat="1" ht="15.75" customHeight="1" x14ac:dyDescent="0.25">
      <c r="A7" s="210">
        <v>43586</v>
      </c>
      <c r="B7" s="149">
        <v>857</v>
      </c>
      <c r="C7" s="149">
        <v>2573</v>
      </c>
      <c r="D7" s="171">
        <f t="shared" ref="D7" si="0">B7/C7</f>
        <v>0.33307423241352507</v>
      </c>
      <c r="E7" s="149">
        <v>418</v>
      </c>
      <c r="F7" s="149">
        <v>1505</v>
      </c>
      <c r="G7" s="171">
        <v>0.27774086378737539</v>
      </c>
      <c r="H7" s="126">
        <v>2</v>
      </c>
      <c r="I7" s="126">
        <v>1</v>
      </c>
      <c r="J7" s="172">
        <f>H7/I7</f>
        <v>2</v>
      </c>
    </row>
    <row r="8" spans="1:10" s="189" customFormat="1" ht="19.5" customHeight="1" x14ac:dyDescent="0.2">
      <c r="A8" s="575" t="s">
        <v>323</v>
      </c>
      <c r="B8" s="575"/>
      <c r="C8" s="575"/>
      <c r="D8" s="575"/>
      <c r="E8" s="575"/>
      <c r="F8" s="575"/>
    </row>
    <row r="9" spans="1:10" s="189" customFormat="1" ht="18" customHeight="1" x14ac:dyDescent="0.2">
      <c r="A9" s="575" t="str">
        <f>'12'!$A$8</f>
        <v>$ indicatesas on May 31, 2019</v>
      </c>
      <c r="B9" s="575"/>
      <c r="C9" s="575"/>
      <c r="D9" s="575"/>
      <c r="E9" s="575"/>
      <c r="F9" s="575"/>
    </row>
    <row r="10" spans="1:10" s="189" customFormat="1" ht="18" customHeight="1" x14ac:dyDescent="0.2">
      <c r="A10" s="575" t="s">
        <v>123</v>
      </c>
      <c r="B10" s="575"/>
      <c r="C10" s="575"/>
      <c r="D10" s="575"/>
      <c r="E10" s="575"/>
      <c r="F10" s="575"/>
    </row>
    <row r="11" spans="1:10" s="125" customFormat="1" ht="27.6" customHeight="1" x14ac:dyDescent="0.2"/>
  </sheetData>
  <mergeCells count="8">
    <mergeCell ref="H2:J2"/>
    <mergeCell ref="A8:F8"/>
    <mergeCell ref="A9:F9"/>
    <mergeCell ref="A10:F10"/>
    <mergeCell ref="A1:G1"/>
    <mergeCell ref="A2:A3"/>
    <mergeCell ref="B2:D2"/>
    <mergeCell ref="E2:G2"/>
  </mergeCell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Normal="100" workbookViewId="0">
      <selection activeCell="G16" sqref="G16"/>
    </sheetView>
  </sheetViews>
  <sheetFormatPr defaultRowHeight="15" x14ac:dyDescent="0.25"/>
  <cols>
    <col min="1" max="1" width="4.5703125" style="123" customWidth="1"/>
    <col min="2" max="2" width="35.140625" style="123" bestFit="1" customWidth="1"/>
    <col min="3" max="3" width="10.7109375" style="123" customWidth="1"/>
    <col min="4" max="4" width="13.42578125" style="123" bestFit="1" customWidth="1"/>
    <col min="5" max="5" width="11" style="123" bestFit="1" customWidth="1"/>
    <col min="6" max="6" width="16" style="123" bestFit="1" customWidth="1"/>
    <col min="7" max="7" width="10.85546875" style="123" customWidth="1"/>
    <col min="8" max="8" width="10.42578125" style="123" customWidth="1"/>
    <col min="9" max="9" width="10.5703125" style="123" customWidth="1"/>
    <col min="10" max="10" width="9.140625" style="123" customWidth="1"/>
    <col min="11" max="11" width="7.7109375" style="123" bestFit="1" customWidth="1"/>
    <col min="12" max="16384" width="9.140625" style="123"/>
  </cols>
  <sheetData>
    <row r="1" spans="1:10" x14ac:dyDescent="0.25">
      <c r="A1" s="574" t="str">
        <f>'Data Summary'!$A$4</f>
        <v>Table 2:  Company-Wise Capital Raised through Public and Rights Issues (Equity) during May 2019</v>
      </c>
      <c r="B1" s="574"/>
      <c r="C1" s="574"/>
      <c r="D1" s="574"/>
      <c r="E1" s="574"/>
      <c r="F1" s="574"/>
      <c r="G1" s="574"/>
      <c r="H1" s="574"/>
      <c r="I1" s="574"/>
      <c r="J1" s="574"/>
    </row>
    <row r="2" spans="1:10" s="125" customFormat="1" ht="51" x14ac:dyDescent="0.2">
      <c r="A2" s="124" t="s">
        <v>43</v>
      </c>
      <c r="B2" s="124" t="s">
        <v>44</v>
      </c>
      <c r="C2" s="124" t="s">
        <v>45</v>
      </c>
      <c r="D2" s="124" t="s">
        <v>46</v>
      </c>
      <c r="E2" s="124" t="s">
        <v>47</v>
      </c>
      <c r="F2" s="124" t="s">
        <v>48</v>
      </c>
      <c r="G2" s="7" t="s">
        <v>49</v>
      </c>
      <c r="H2" s="7" t="s">
        <v>50</v>
      </c>
      <c r="I2" s="7" t="s">
        <v>51</v>
      </c>
      <c r="J2" s="7" t="s">
        <v>52</v>
      </c>
    </row>
    <row r="3" spans="1:10" s="125" customFormat="1" x14ac:dyDescent="0.25">
      <c r="A3" s="126">
        <v>1</v>
      </c>
      <c r="B3" s="119" t="s">
        <v>854</v>
      </c>
      <c r="C3" s="120">
        <v>43593</v>
      </c>
      <c r="D3" s="120" t="s">
        <v>591</v>
      </c>
      <c r="E3" s="121" t="s">
        <v>53</v>
      </c>
      <c r="F3" s="130">
        <v>1672000</v>
      </c>
      <c r="G3" s="127">
        <v>10</v>
      </c>
      <c r="H3" s="128">
        <v>41</v>
      </c>
      <c r="I3" s="127">
        <v>51</v>
      </c>
      <c r="J3" s="129">
        <v>8.5299999999999994</v>
      </c>
    </row>
    <row r="4" spans="1:10" s="125" customFormat="1" x14ac:dyDescent="0.25">
      <c r="A4" s="126">
        <v>2</v>
      </c>
      <c r="B4" s="119" t="s">
        <v>848</v>
      </c>
      <c r="C4" s="120">
        <v>43602</v>
      </c>
      <c r="D4" s="120" t="s">
        <v>54</v>
      </c>
      <c r="E4" s="121" t="s">
        <v>53</v>
      </c>
      <c r="F4" s="130">
        <v>1133590816</v>
      </c>
      <c r="G4" s="127">
        <v>10</v>
      </c>
      <c r="H4" s="128">
        <v>205</v>
      </c>
      <c r="I4" s="127">
        <v>215</v>
      </c>
      <c r="J4" s="129">
        <v>24372.202544</v>
      </c>
    </row>
    <row r="5" spans="1:10" s="125" customFormat="1" x14ac:dyDescent="0.25">
      <c r="A5" s="126">
        <v>3</v>
      </c>
      <c r="B5" s="119" t="s">
        <v>851</v>
      </c>
      <c r="C5" s="120">
        <v>43591</v>
      </c>
      <c r="D5" s="120" t="s">
        <v>591</v>
      </c>
      <c r="E5" s="121" t="s">
        <v>53</v>
      </c>
      <c r="F5" s="130">
        <v>7000000</v>
      </c>
      <c r="G5" s="127">
        <v>10</v>
      </c>
      <c r="H5" s="128">
        <v>50</v>
      </c>
      <c r="I5" s="127">
        <v>60</v>
      </c>
      <c r="J5" s="129">
        <v>42</v>
      </c>
    </row>
    <row r="6" spans="1:10" s="125" customFormat="1" x14ac:dyDescent="0.25">
      <c r="A6" s="126">
        <v>4</v>
      </c>
      <c r="B6" s="119" t="s">
        <v>849</v>
      </c>
      <c r="C6" s="120">
        <v>43600</v>
      </c>
      <c r="D6" s="120" t="s">
        <v>591</v>
      </c>
      <c r="E6" s="121" t="s">
        <v>53</v>
      </c>
      <c r="F6" s="130">
        <v>6216000</v>
      </c>
      <c r="G6" s="127">
        <v>10</v>
      </c>
      <c r="H6" s="128">
        <v>51</v>
      </c>
      <c r="I6" s="127">
        <v>61</v>
      </c>
      <c r="J6" s="129">
        <v>37.909999999999997</v>
      </c>
    </row>
    <row r="7" spans="1:10" s="125" customFormat="1" x14ac:dyDescent="0.25">
      <c r="A7" s="126">
        <v>5</v>
      </c>
      <c r="B7" s="119" t="s">
        <v>852</v>
      </c>
      <c r="C7" s="120">
        <v>43588</v>
      </c>
      <c r="D7" s="120" t="s">
        <v>591</v>
      </c>
      <c r="E7" s="121" t="s">
        <v>53</v>
      </c>
      <c r="F7" s="130">
        <v>372000</v>
      </c>
      <c r="G7" s="127">
        <v>10</v>
      </c>
      <c r="H7" s="128">
        <v>42</v>
      </c>
      <c r="I7" s="127">
        <v>52</v>
      </c>
      <c r="J7" s="129">
        <v>1.93</v>
      </c>
    </row>
    <row r="8" spans="1:10" s="125" customFormat="1" x14ac:dyDescent="0.25">
      <c r="A8" s="126">
        <v>6</v>
      </c>
      <c r="B8" s="119" t="s">
        <v>850</v>
      </c>
      <c r="C8" s="120">
        <v>43587</v>
      </c>
      <c r="D8" s="120" t="s">
        <v>591</v>
      </c>
      <c r="E8" s="121" t="s">
        <v>53</v>
      </c>
      <c r="F8" s="130">
        <v>2454000</v>
      </c>
      <c r="G8" s="127">
        <v>10</v>
      </c>
      <c r="H8" s="128">
        <v>53</v>
      </c>
      <c r="I8" s="127">
        <v>63</v>
      </c>
      <c r="J8" s="129">
        <v>15.46</v>
      </c>
    </row>
    <row r="9" spans="1:10" s="125" customFormat="1" x14ac:dyDescent="0.25">
      <c r="A9" s="126">
        <v>7</v>
      </c>
      <c r="B9" s="119" t="s">
        <v>853</v>
      </c>
      <c r="C9" s="120">
        <v>43587</v>
      </c>
      <c r="D9" s="120" t="s">
        <v>54</v>
      </c>
      <c r="E9" s="121" t="s">
        <v>53</v>
      </c>
      <c r="F9" s="130">
        <v>852940</v>
      </c>
      <c r="G9" s="127">
        <v>2</v>
      </c>
      <c r="H9" s="128">
        <v>1</v>
      </c>
      <c r="I9" s="127">
        <v>3</v>
      </c>
      <c r="J9" s="129">
        <v>0.255882</v>
      </c>
    </row>
    <row r="10" spans="1:10" s="125" customFormat="1" x14ac:dyDescent="0.2">
      <c r="A10" s="575" t="s">
        <v>55</v>
      </c>
      <c r="B10" s="575"/>
      <c r="C10" s="575"/>
      <c r="D10" s="575"/>
      <c r="E10" s="575"/>
      <c r="F10" s="575"/>
    </row>
    <row r="11" spans="1:10" s="125" customFormat="1" x14ac:dyDescent="0.2">
      <c r="A11" s="575" t="s">
        <v>56</v>
      </c>
      <c r="B11" s="575"/>
      <c r="C11" s="575"/>
      <c r="D11" s="575"/>
      <c r="E11" s="575"/>
      <c r="F11" s="575"/>
    </row>
    <row r="12" spans="1:10" s="125" customFormat="1" x14ac:dyDescent="0.2"/>
  </sheetData>
  <mergeCells count="3">
    <mergeCell ref="A1:J1"/>
    <mergeCell ref="A10:F10"/>
    <mergeCell ref="A11:F11"/>
  </mergeCells>
  <pageMargins left="0.78431372549019618" right="0.78431372549019618" top="0.98039215686274517" bottom="0.98039215686274517" header="0.50980392156862753" footer="0.50980392156862753"/>
  <pageSetup paperSize="9" scale="99" orientation="landscape" useFirstPageNumber="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zoomScaleNormal="100" workbookViewId="0">
      <selection activeCell="A9" sqref="A9:G9"/>
    </sheetView>
  </sheetViews>
  <sheetFormatPr defaultRowHeight="15" x14ac:dyDescent="0.25"/>
  <cols>
    <col min="1" max="1" width="9.85546875" style="123" bestFit="1" customWidth="1"/>
    <col min="2" max="10" width="13.5703125" style="123" bestFit="1" customWidth="1"/>
    <col min="11" max="11" width="4.7109375" style="123" bestFit="1" customWidth="1"/>
    <col min="12" max="16384" width="9.140625" style="123"/>
  </cols>
  <sheetData>
    <row r="1" spans="1:10" ht="13.5" customHeight="1" x14ac:dyDescent="0.25">
      <c r="A1" s="574" t="str">
        <f>'Data Summary'!$A$31</f>
        <v>Table 29:  Trading Frequency in Cash Segment</v>
      </c>
      <c r="B1" s="574"/>
      <c r="C1" s="574"/>
      <c r="D1" s="574"/>
      <c r="E1" s="574"/>
      <c r="F1" s="574"/>
      <c r="G1" s="574"/>
    </row>
    <row r="2" spans="1:10" s="125" customFormat="1" x14ac:dyDescent="0.2">
      <c r="A2" s="581" t="s">
        <v>324</v>
      </c>
      <c r="B2" s="621" t="s">
        <v>129</v>
      </c>
      <c r="C2" s="634"/>
      <c r="D2" s="622"/>
      <c r="E2" s="621" t="s">
        <v>130</v>
      </c>
      <c r="F2" s="634"/>
      <c r="G2" s="622"/>
      <c r="H2" s="621" t="s">
        <v>131</v>
      </c>
      <c r="I2" s="634"/>
      <c r="J2" s="622"/>
    </row>
    <row r="3" spans="1:10" s="125" customFormat="1" ht="43.5" customHeight="1" x14ac:dyDescent="0.2">
      <c r="A3" s="583"/>
      <c r="B3" s="124" t="s">
        <v>325</v>
      </c>
      <c r="C3" s="124" t="s">
        <v>171</v>
      </c>
      <c r="D3" s="124" t="s">
        <v>326</v>
      </c>
      <c r="E3" s="124" t="s">
        <v>325</v>
      </c>
      <c r="F3" s="124" t="s">
        <v>171</v>
      </c>
      <c r="G3" s="124" t="s">
        <v>326</v>
      </c>
      <c r="H3" s="124" t="s">
        <v>325</v>
      </c>
      <c r="I3" s="124" t="s">
        <v>171</v>
      </c>
      <c r="J3" s="124" t="s">
        <v>326</v>
      </c>
    </row>
    <row r="4" spans="1:10" s="125" customFormat="1" ht="18" customHeight="1" x14ac:dyDescent="0.25">
      <c r="A4" s="190" t="s">
        <v>5</v>
      </c>
      <c r="B4" s="149">
        <v>5262</v>
      </c>
      <c r="C4" s="149">
        <v>4086</v>
      </c>
      <c r="D4" s="173">
        <v>77.651083238312424</v>
      </c>
      <c r="E4" s="149">
        <v>1931</v>
      </c>
      <c r="F4" s="149">
        <v>1922</v>
      </c>
      <c r="G4" s="173">
        <v>99.533920248575868</v>
      </c>
      <c r="H4" s="126">
        <v>287</v>
      </c>
      <c r="I4" s="126">
        <v>8</v>
      </c>
      <c r="J4" s="172">
        <v>2.7874564459930316</v>
      </c>
    </row>
    <row r="5" spans="1:10" s="125" customFormat="1" ht="18" customHeight="1" x14ac:dyDescent="0.25">
      <c r="A5" s="190" t="s">
        <v>6</v>
      </c>
      <c r="B5" s="149">
        <v>5292</v>
      </c>
      <c r="C5" s="149">
        <v>3746</v>
      </c>
      <c r="D5" s="173">
        <v>70.78609221466364</v>
      </c>
      <c r="E5" s="149">
        <v>1892</v>
      </c>
      <c r="F5" s="149">
        <v>1860</v>
      </c>
      <c r="G5" s="173">
        <v>98.308668076109939</v>
      </c>
      <c r="H5" s="126">
        <v>288</v>
      </c>
      <c r="I5" s="126">
        <v>7</v>
      </c>
      <c r="J5" s="172">
        <v>2.0979020979020979</v>
      </c>
    </row>
    <row r="6" spans="1:10" s="125" customFormat="1" ht="18" customHeight="1" x14ac:dyDescent="0.25">
      <c r="A6" s="156" t="s">
        <v>70</v>
      </c>
      <c r="B6" s="149">
        <v>5282</v>
      </c>
      <c r="C6" s="149">
        <v>3580</v>
      </c>
      <c r="D6" s="173">
        <v>67.777357061719044</v>
      </c>
      <c r="E6" s="149">
        <v>1892</v>
      </c>
      <c r="F6" s="149">
        <v>1856</v>
      </c>
      <c r="G6" s="173">
        <f>F6/E6*100</f>
        <v>98.097251585623681</v>
      </c>
      <c r="H6" s="126">
        <v>286</v>
      </c>
      <c r="I6" s="126">
        <v>6</v>
      </c>
      <c r="J6" s="172">
        <v>2.0979020979020979</v>
      </c>
    </row>
    <row r="7" spans="1:10" s="125" customFormat="1" ht="18" customHeight="1" x14ac:dyDescent="0.25">
      <c r="A7" s="188">
        <v>43586</v>
      </c>
      <c r="B7" s="149">
        <v>5292</v>
      </c>
      <c r="C7" s="149">
        <v>3587</v>
      </c>
      <c r="D7" s="173">
        <v>67.781557067271351</v>
      </c>
      <c r="E7" s="149">
        <v>1892</v>
      </c>
      <c r="F7" s="149">
        <v>1860</v>
      </c>
      <c r="G7" s="173">
        <f>F7/E7*100</f>
        <v>98.308668076109939</v>
      </c>
      <c r="H7" s="126">
        <v>288</v>
      </c>
      <c r="I7" s="126">
        <v>5</v>
      </c>
      <c r="J7" s="172">
        <f>(I7/H7)*100</f>
        <v>1.7361111111111112</v>
      </c>
    </row>
    <row r="8" spans="1:10" s="189" customFormat="1" ht="15" customHeight="1" x14ac:dyDescent="0.2">
      <c r="A8" s="594" t="s">
        <v>846</v>
      </c>
      <c r="B8" s="594"/>
      <c r="C8" s="594"/>
      <c r="D8" s="594"/>
      <c r="E8" s="594"/>
      <c r="F8" s="594"/>
      <c r="G8" s="594"/>
    </row>
    <row r="9" spans="1:10" s="189" customFormat="1" ht="13.5" customHeight="1" x14ac:dyDescent="0.2">
      <c r="A9" s="594" t="s">
        <v>123</v>
      </c>
      <c r="B9" s="594"/>
      <c r="C9" s="594"/>
      <c r="D9" s="594"/>
      <c r="E9" s="594"/>
      <c r="F9" s="594"/>
      <c r="G9" s="594"/>
    </row>
    <row r="10" spans="1:10" s="125" customFormat="1" ht="28.35" customHeight="1" x14ac:dyDescent="0.2"/>
  </sheetData>
  <mergeCells count="7">
    <mergeCell ref="H2:J2"/>
    <mergeCell ref="A8:G8"/>
    <mergeCell ref="A9:G9"/>
    <mergeCell ref="A1:G1"/>
    <mergeCell ref="A2:A3"/>
    <mergeCell ref="B2:D2"/>
    <mergeCell ref="E2:G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zoomScaleNormal="100" workbookViewId="0">
      <selection activeCell="A5" sqref="A5"/>
    </sheetView>
  </sheetViews>
  <sheetFormatPr defaultRowHeight="15" x14ac:dyDescent="0.25"/>
  <cols>
    <col min="1" max="1" width="14.7109375" style="123" bestFit="1" customWidth="1"/>
    <col min="2" max="2" width="12" style="123" bestFit="1" customWidth="1"/>
    <col min="3" max="3" width="10.28515625" style="123" customWidth="1"/>
    <col min="4" max="4" width="10.140625" style="123" customWidth="1"/>
    <col min="5" max="5" width="9.7109375" style="123" customWidth="1"/>
    <col min="6" max="6" width="13.85546875" style="123" bestFit="1" customWidth="1"/>
    <col min="7" max="7" width="10.5703125" style="123" customWidth="1"/>
    <col min="8" max="8" width="12.42578125" style="123" customWidth="1"/>
    <col min="9" max="9" width="4.7109375" style="123" bestFit="1" customWidth="1"/>
    <col min="10" max="16384" width="9.140625" style="123"/>
  </cols>
  <sheetData>
    <row r="1" spans="1:8" s="247" customFormat="1" ht="15.75" customHeight="1" x14ac:dyDescent="0.2">
      <c r="A1" s="246" t="str">
        <f>'Data Summary'!$A$32</f>
        <v xml:space="preserve">Table 30:  Daily Volatility of Major Indices </v>
      </c>
      <c r="B1" s="246"/>
      <c r="C1" s="246"/>
    </row>
    <row r="2" spans="1:8" ht="15.75" customHeight="1" x14ac:dyDescent="0.25">
      <c r="A2" s="642" t="s">
        <v>986</v>
      </c>
      <c r="B2" s="642"/>
      <c r="C2" s="642"/>
      <c r="D2" s="642"/>
      <c r="E2" s="642"/>
      <c r="F2" s="642"/>
      <c r="G2" s="642"/>
      <c r="H2" s="642"/>
    </row>
    <row r="3" spans="1:8" s="125" customFormat="1" ht="38.25" customHeight="1" x14ac:dyDescent="0.2">
      <c r="A3" s="152" t="s">
        <v>61</v>
      </c>
      <c r="B3" s="124" t="s">
        <v>327</v>
      </c>
      <c r="C3" s="124" t="s">
        <v>328</v>
      </c>
      <c r="D3" s="124" t="s">
        <v>329</v>
      </c>
      <c r="E3" s="124" t="s">
        <v>330</v>
      </c>
      <c r="F3" s="124" t="s">
        <v>331</v>
      </c>
      <c r="G3" s="124" t="s">
        <v>332</v>
      </c>
      <c r="H3" s="124" t="s">
        <v>333</v>
      </c>
    </row>
    <row r="4" spans="1:8" s="125" customFormat="1" ht="18" customHeight="1" x14ac:dyDescent="0.25">
      <c r="A4" s="209" t="s">
        <v>5</v>
      </c>
      <c r="B4" s="172">
        <v>0.76505508</v>
      </c>
      <c r="C4" s="172">
        <v>0.79260673100000001</v>
      </c>
      <c r="D4" s="172">
        <v>0.80214608600000004</v>
      </c>
      <c r="E4" s="172">
        <v>0.78237730500000002</v>
      </c>
      <c r="F4" s="172">
        <v>1.020970889</v>
      </c>
      <c r="G4" s="172">
        <v>0.80626922999999995</v>
      </c>
      <c r="H4" s="172">
        <v>0.77</v>
      </c>
    </row>
    <row r="5" spans="1:8" s="125" customFormat="1" ht="18" customHeight="1" x14ac:dyDescent="0.25">
      <c r="A5" s="209" t="s">
        <v>6</v>
      </c>
      <c r="B5" s="172">
        <v>0.94460423368972335</v>
      </c>
      <c r="C5" s="172">
        <v>0.92381390002564889</v>
      </c>
      <c r="D5" s="172">
        <v>0.91089665088700589</v>
      </c>
      <c r="E5" s="172">
        <v>0.92436771455230682</v>
      </c>
      <c r="F5" s="172">
        <v>0.88862559393422025</v>
      </c>
      <c r="G5" s="172">
        <v>0.9017653598477231</v>
      </c>
      <c r="H5" s="172">
        <v>9.4000000000000004E-3</v>
      </c>
    </row>
    <row r="6" spans="1:8" s="125" customFormat="1" ht="18" customHeight="1" x14ac:dyDescent="0.25">
      <c r="A6" s="157" t="s">
        <v>70</v>
      </c>
      <c r="B6" s="172">
        <v>0.68796437747180395</v>
      </c>
      <c r="C6" s="172">
        <v>0.64456652287290428</v>
      </c>
      <c r="D6" s="172">
        <v>0.61263987859509461</v>
      </c>
      <c r="E6" s="172">
        <v>0.66285354133127317</v>
      </c>
      <c r="F6" s="172">
        <v>0.5722938778083505</v>
      </c>
      <c r="G6" s="172">
        <v>0.60203805339485328</v>
      </c>
      <c r="H6" s="172">
        <v>7.1133253097746792E-3</v>
      </c>
    </row>
    <row r="7" spans="1:8" s="125" customFormat="1" ht="18" customHeight="1" x14ac:dyDescent="0.25">
      <c r="A7" s="210">
        <v>43586</v>
      </c>
      <c r="B7" s="172">
        <v>1.1372996691303969</v>
      </c>
      <c r="C7" s="172">
        <v>1.1263505894434771</v>
      </c>
      <c r="D7" s="172">
        <v>1.1208767189271482</v>
      </c>
      <c r="E7" s="172">
        <v>1.1013071011613869</v>
      </c>
      <c r="F7" s="172">
        <v>1.0883143973805935</v>
      </c>
      <c r="G7" s="172">
        <v>1.0956580582514168</v>
      </c>
      <c r="H7" s="172">
        <v>1.1295557978093935E-2</v>
      </c>
    </row>
    <row r="8" spans="1:8" s="189" customFormat="1" ht="19.5" customHeight="1" x14ac:dyDescent="0.2">
      <c r="A8" s="575" t="s">
        <v>334</v>
      </c>
      <c r="B8" s="575"/>
      <c r="C8" s="575"/>
      <c r="D8" s="575"/>
      <c r="E8" s="575"/>
      <c r="F8" s="575"/>
      <c r="G8" s="575"/>
    </row>
    <row r="9" spans="1:8" s="189" customFormat="1" ht="18" customHeight="1" x14ac:dyDescent="0.2">
      <c r="A9" s="575" t="s">
        <v>846</v>
      </c>
      <c r="B9" s="575"/>
      <c r="C9" s="575"/>
      <c r="D9" s="575"/>
      <c r="E9" s="575"/>
      <c r="F9" s="575"/>
      <c r="G9" s="575"/>
    </row>
    <row r="10" spans="1:8" s="189" customFormat="1" ht="18" customHeight="1" x14ac:dyDescent="0.2">
      <c r="A10" s="575" t="s">
        <v>335</v>
      </c>
      <c r="B10" s="575"/>
      <c r="C10" s="575"/>
      <c r="D10" s="575"/>
      <c r="E10" s="575"/>
      <c r="F10" s="575"/>
      <c r="G10" s="575"/>
    </row>
    <row r="11" spans="1:8" s="125" customFormat="1" ht="27.6" customHeight="1" x14ac:dyDescent="0.2"/>
  </sheetData>
  <mergeCells count="4">
    <mergeCell ref="A8:G8"/>
    <mergeCell ref="A9:G9"/>
    <mergeCell ref="A10:G10"/>
    <mergeCell ref="A2:H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zoomScaleNormal="100" workbookViewId="0">
      <selection activeCell="A17" sqref="A17:K17"/>
    </sheetView>
  </sheetViews>
  <sheetFormatPr defaultColWidth="8.5703125" defaultRowHeight="15" x14ac:dyDescent="0.25"/>
  <cols>
    <col min="1" max="1" width="8.5703125" style="123"/>
    <col min="2" max="2" width="6.42578125" style="123" customWidth="1"/>
    <col min="3" max="3" width="7" style="123" customWidth="1"/>
    <col min="4" max="4" width="6.7109375" style="123" customWidth="1"/>
    <col min="5" max="5" width="8.5703125" style="123"/>
    <col min="6" max="6" width="7" style="123" customWidth="1"/>
    <col min="7" max="7" width="6" style="123" customWidth="1"/>
    <col min="8" max="8" width="7.28515625" style="123" customWidth="1"/>
    <col min="9" max="9" width="6.85546875" style="123" customWidth="1"/>
    <col min="10" max="11" width="7.28515625" style="123" customWidth="1"/>
    <col min="12" max="12" width="6.85546875" style="123" customWidth="1"/>
    <col min="13" max="13" width="7" style="123" customWidth="1"/>
    <col min="14" max="14" width="6.85546875" style="123" customWidth="1"/>
    <col min="15" max="15" width="7.7109375" style="123" customWidth="1"/>
    <col min="16" max="16" width="8.28515625" style="123" customWidth="1"/>
    <col min="17" max="16384" width="8.5703125" style="123"/>
  </cols>
  <sheetData>
    <row r="1" spans="1:16" ht="14.25" customHeight="1" x14ac:dyDescent="0.25">
      <c r="A1" s="576" t="str">
        <f>'Data Summary'!$A$33</f>
        <v xml:space="preserve">Table 31:  Share of Top ‘N’ Securities/Members in Turnover of Cash Segment </v>
      </c>
      <c r="B1" s="576"/>
      <c r="C1" s="576"/>
      <c r="D1" s="576"/>
      <c r="E1" s="576"/>
      <c r="F1" s="576"/>
      <c r="G1" s="576"/>
      <c r="H1" s="576"/>
      <c r="I1" s="576"/>
      <c r="J1" s="576"/>
      <c r="K1" s="576"/>
      <c r="L1" s="247"/>
      <c r="M1" s="247"/>
      <c r="N1" s="247"/>
      <c r="O1" s="247"/>
      <c r="P1" s="247"/>
    </row>
    <row r="2" spans="1:16" s="125" customFormat="1" ht="27" customHeight="1" x14ac:dyDescent="0.2">
      <c r="A2" s="124" t="s">
        <v>82</v>
      </c>
      <c r="B2" s="618" t="s">
        <v>129</v>
      </c>
      <c r="C2" s="619"/>
      <c r="D2" s="619"/>
      <c r="E2" s="619"/>
      <c r="F2" s="620"/>
      <c r="G2" s="618" t="s">
        <v>130</v>
      </c>
      <c r="H2" s="619"/>
      <c r="I2" s="619"/>
      <c r="J2" s="619"/>
      <c r="K2" s="620"/>
      <c r="L2" s="618" t="s">
        <v>131</v>
      </c>
      <c r="M2" s="619"/>
      <c r="N2" s="619"/>
      <c r="O2" s="619"/>
      <c r="P2" s="620"/>
    </row>
    <row r="3" spans="1:16" s="125" customFormat="1" ht="18" customHeight="1" x14ac:dyDescent="0.2">
      <c r="A3" s="152" t="s">
        <v>336</v>
      </c>
      <c r="B3" s="152" t="s">
        <v>337</v>
      </c>
      <c r="C3" s="152" t="s">
        <v>338</v>
      </c>
      <c r="D3" s="152" t="s">
        <v>339</v>
      </c>
      <c r="E3" s="152" t="s">
        <v>340</v>
      </c>
      <c r="F3" s="152" t="s">
        <v>341</v>
      </c>
      <c r="G3" s="152" t="s">
        <v>337</v>
      </c>
      <c r="H3" s="152" t="s">
        <v>338</v>
      </c>
      <c r="I3" s="152" t="s">
        <v>339</v>
      </c>
      <c r="J3" s="152" t="s">
        <v>340</v>
      </c>
      <c r="K3" s="152" t="s">
        <v>341</v>
      </c>
      <c r="L3" s="152" t="s">
        <v>337</v>
      </c>
      <c r="M3" s="152" t="s">
        <v>338</v>
      </c>
      <c r="N3" s="152" t="s">
        <v>339</v>
      </c>
      <c r="O3" s="152" t="s">
        <v>340</v>
      </c>
      <c r="P3" s="152" t="s">
        <v>341</v>
      </c>
    </row>
    <row r="4" spans="1:16" s="125" customFormat="1" ht="18" customHeight="1" x14ac:dyDescent="0.2">
      <c r="A4" s="618" t="s">
        <v>342</v>
      </c>
      <c r="B4" s="619"/>
      <c r="C4" s="619"/>
      <c r="D4" s="619"/>
      <c r="E4" s="619"/>
      <c r="F4" s="619"/>
      <c r="G4" s="619"/>
      <c r="H4" s="619"/>
      <c r="I4" s="619"/>
      <c r="J4" s="619"/>
      <c r="K4" s="619"/>
      <c r="L4" s="619"/>
      <c r="M4" s="619"/>
      <c r="N4" s="619"/>
      <c r="O4" s="619"/>
      <c r="P4" s="620"/>
    </row>
    <row r="5" spans="1:16" s="125" customFormat="1" ht="16.5" customHeight="1" x14ac:dyDescent="0.2">
      <c r="A5" s="209" t="s">
        <v>5</v>
      </c>
      <c r="B5" s="298">
        <v>9.5289999999999999</v>
      </c>
      <c r="C5" s="298">
        <v>16.1709</v>
      </c>
      <c r="D5" s="298">
        <v>31.055199999999999</v>
      </c>
      <c r="E5" s="298">
        <v>44.2911</v>
      </c>
      <c r="F5" s="298">
        <v>60.239400000000003</v>
      </c>
      <c r="G5" s="298">
        <v>11.68</v>
      </c>
      <c r="H5" s="298">
        <v>20.43</v>
      </c>
      <c r="I5" s="298">
        <v>36.67</v>
      </c>
      <c r="J5" s="298">
        <v>52.57</v>
      </c>
      <c r="K5" s="298">
        <v>70.930000000000007</v>
      </c>
      <c r="L5" s="299">
        <v>98.9</v>
      </c>
      <c r="M5" s="300">
        <v>100</v>
      </c>
      <c r="N5" s="300">
        <v>100</v>
      </c>
      <c r="O5" s="300">
        <v>100</v>
      </c>
      <c r="P5" s="300">
        <v>100</v>
      </c>
    </row>
    <row r="6" spans="1:16" s="125" customFormat="1" ht="16.5" customHeight="1" x14ac:dyDescent="0.2">
      <c r="A6" s="209" t="s">
        <v>6</v>
      </c>
      <c r="B6" s="298">
        <v>13.634499999999999</v>
      </c>
      <c r="C6" s="298">
        <v>21.977699999999999</v>
      </c>
      <c r="D6" s="298">
        <v>39.033200000000001</v>
      </c>
      <c r="E6" s="298">
        <v>52.708300000000001</v>
      </c>
      <c r="F6" s="298">
        <v>67.845600000000005</v>
      </c>
      <c r="G6" s="298">
        <v>14</v>
      </c>
      <c r="H6" s="298">
        <v>23.83</v>
      </c>
      <c r="I6" s="298">
        <v>42.68</v>
      </c>
      <c r="J6" s="298">
        <v>59</v>
      </c>
      <c r="K6" s="298">
        <v>76.86</v>
      </c>
      <c r="L6" s="299">
        <v>99.456093245999938</v>
      </c>
      <c r="M6" s="300">
        <v>100</v>
      </c>
      <c r="N6" s="300">
        <v>100</v>
      </c>
      <c r="O6" s="300">
        <v>100</v>
      </c>
      <c r="P6" s="300">
        <v>100</v>
      </c>
    </row>
    <row r="7" spans="1:16" s="125" customFormat="1" ht="16.5" customHeight="1" x14ac:dyDescent="0.2">
      <c r="A7" s="157" t="s">
        <v>70</v>
      </c>
      <c r="B7" s="298">
        <v>16.79</v>
      </c>
      <c r="C7" s="298">
        <v>26.8901</v>
      </c>
      <c r="D7" s="298">
        <v>42.9178</v>
      </c>
      <c r="E7" s="298">
        <v>56.311700000000002</v>
      </c>
      <c r="F7" s="298">
        <v>70.250500000000002</v>
      </c>
      <c r="G7" s="298">
        <v>14.92</v>
      </c>
      <c r="H7" s="298">
        <v>24.97</v>
      </c>
      <c r="I7" s="298">
        <v>43</v>
      </c>
      <c r="J7" s="298">
        <v>59.47</v>
      </c>
      <c r="K7" s="298">
        <v>76.69</v>
      </c>
      <c r="L7" s="299">
        <v>99.470338102141341</v>
      </c>
      <c r="M7" s="300">
        <v>100</v>
      </c>
      <c r="N7" s="300">
        <v>100</v>
      </c>
      <c r="O7" s="300">
        <v>100</v>
      </c>
      <c r="P7" s="300">
        <v>100</v>
      </c>
    </row>
    <row r="8" spans="1:16" s="125" customFormat="1" ht="16.5" customHeight="1" x14ac:dyDescent="0.2">
      <c r="A8" s="210">
        <v>43586</v>
      </c>
      <c r="B8" s="298">
        <v>13.6143</v>
      </c>
      <c r="C8" s="298">
        <v>20.8523</v>
      </c>
      <c r="D8" s="298">
        <v>37.243600000000001</v>
      </c>
      <c r="E8" s="298">
        <v>51.491900000000001</v>
      </c>
      <c r="F8" s="298">
        <v>67.944900000000004</v>
      </c>
      <c r="G8" s="298">
        <v>14.71</v>
      </c>
      <c r="H8" s="298">
        <v>24.25</v>
      </c>
      <c r="I8" s="298">
        <v>43.35</v>
      </c>
      <c r="J8" s="298">
        <v>59.07</v>
      </c>
      <c r="K8" s="298">
        <v>77.819999999999993</v>
      </c>
      <c r="L8" s="300">
        <v>100</v>
      </c>
      <c r="M8" s="300">
        <v>100</v>
      </c>
      <c r="N8" s="300">
        <v>100</v>
      </c>
      <c r="O8" s="300">
        <v>100</v>
      </c>
      <c r="P8" s="300">
        <v>100</v>
      </c>
    </row>
    <row r="9" spans="1:16" s="125" customFormat="1" ht="18" customHeight="1" x14ac:dyDescent="0.2">
      <c r="A9" s="618" t="s">
        <v>343</v>
      </c>
      <c r="B9" s="619"/>
      <c r="C9" s="619"/>
      <c r="D9" s="619"/>
      <c r="E9" s="619"/>
      <c r="F9" s="619"/>
      <c r="G9" s="619"/>
      <c r="H9" s="619"/>
      <c r="I9" s="619"/>
      <c r="J9" s="619"/>
      <c r="K9" s="619"/>
      <c r="L9" s="619"/>
      <c r="M9" s="619"/>
      <c r="N9" s="619"/>
      <c r="O9" s="619"/>
      <c r="P9" s="620"/>
    </row>
    <row r="10" spans="1:16" s="125" customFormat="1" ht="18" customHeight="1" x14ac:dyDescent="0.2">
      <c r="A10" s="209" t="s">
        <v>5</v>
      </c>
      <c r="B10" s="298">
        <v>24.2</v>
      </c>
      <c r="C10" s="298">
        <v>38.4</v>
      </c>
      <c r="D10" s="298">
        <v>61</v>
      </c>
      <c r="E10" s="298">
        <v>73.5</v>
      </c>
      <c r="F10" s="298">
        <v>84.5</v>
      </c>
      <c r="G10" s="298">
        <v>22.47</v>
      </c>
      <c r="H10" s="298">
        <v>34.340000000000003</v>
      </c>
      <c r="I10" s="298">
        <v>54.6</v>
      </c>
      <c r="J10" s="298">
        <v>72.37</v>
      </c>
      <c r="K10" s="298">
        <v>85.69</v>
      </c>
      <c r="L10" s="299">
        <v>94.71</v>
      </c>
      <c r="M10" s="300">
        <v>100</v>
      </c>
      <c r="N10" s="299">
        <v>100</v>
      </c>
      <c r="O10" s="300">
        <v>100</v>
      </c>
      <c r="P10" s="300">
        <v>100</v>
      </c>
    </row>
    <row r="11" spans="1:16" s="125" customFormat="1" ht="18" customHeight="1" x14ac:dyDescent="0.2">
      <c r="A11" s="209" t="s">
        <v>6</v>
      </c>
      <c r="B11" s="298">
        <v>31.04</v>
      </c>
      <c r="C11" s="298">
        <v>45.17</v>
      </c>
      <c r="D11" s="298">
        <v>62.44</v>
      </c>
      <c r="E11" s="298">
        <v>73.64</v>
      </c>
      <c r="F11" s="298">
        <v>84.01</v>
      </c>
      <c r="G11" s="298">
        <v>24.75</v>
      </c>
      <c r="H11" s="298">
        <v>37.880000000000003</v>
      </c>
      <c r="I11" s="298">
        <v>58.31</v>
      </c>
      <c r="J11" s="298">
        <v>75.41</v>
      </c>
      <c r="K11" s="298">
        <v>87.41</v>
      </c>
      <c r="L11" s="299">
        <v>88.082409999999996</v>
      </c>
      <c r="M11" s="300">
        <v>100</v>
      </c>
      <c r="N11" s="299">
        <v>100</v>
      </c>
      <c r="O11" s="300">
        <v>100</v>
      </c>
      <c r="P11" s="300">
        <v>100</v>
      </c>
    </row>
    <row r="12" spans="1:16" s="125" customFormat="1" ht="18" customHeight="1" x14ac:dyDescent="0.2">
      <c r="A12" s="157" t="s">
        <v>70</v>
      </c>
      <c r="B12" s="298">
        <v>31.24</v>
      </c>
      <c r="C12" s="298">
        <v>46.01</v>
      </c>
      <c r="D12" s="298">
        <v>62.89</v>
      </c>
      <c r="E12" s="298">
        <v>74.510000000000005</v>
      </c>
      <c r="F12" s="298">
        <v>84.49</v>
      </c>
      <c r="G12" s="298">
        <v>24.97</v>
      </c>
      <c r="H12" s="298">
        <v>37.18</v>
      </c>
      <c r="I12" s="298">
        <v>57.29</v>
      </c>
      <c r="J12" s="298">
        <v>74.099999999999994</v>
      </c>
      <c r="K12" s="298">
        <v>86.64</v>
      </c>
      <c r="L12" s="299">
        <v>88.278730409148991</v>
      </c>
      <c r="M12" s="300">
        <v>100</v>
      </c>
      <c r="N12" s="299">
        <v>100</v>
      </c>
      <c r="O12" s="300">
        <v>100</v>
      </c>
      <c r="P12" s="300">
        <v>100</v>
      </c>
    </row>
    <row r="13" spans="1:16" s="125" customFormat="1" ht="18" customHeight="1" x14ac:dyDescent="0.2">
      <c r="A13" s="210">
        <v>43586</v>
      </c>
      <c r="B13" s="298">
        <v>33.520000000000003</v>
      </c>
      <c r="C13" s="298">
        <v>45.59</v>
      </c>
      <c r="D13" s="298">
        <v>62.85</v>
      </c>
      <c r="E13" s="298">
        <v>73.87</v>
      </c>
      <c r="F13" s="298">
        <v>84.17</v>
      </c>
      <c r="G13" s="298">
        <v>24.62</v>
      </c>
      <c r="H13" s="298">
        <v>38.53</v>
      </c>
      <c r="I13" s="298">
        <v>59.31</v>
      </c>
      <c r="J13" s="298">
        <v>76.709999999999994</v>
      </c>
      <c r="K13" s="298">
        <v>88.17</v>
      </c>
      <c r="L13" s="299">
        <v>88.7455650508779</v>
      </c>
      <c r="M13" s="300">
        <v>100</v>
      </c>
      <c r="N13" s="299">
        <v>100</v>
      </c>
      <c r="O13" s="300">
        <v>100</v>
      </c>
      <c r="P13" s="300">
        <v>100</v>
      </c>
    </row>
    <row r="14" spans="1:16" s="189" customFormat="1" ht="15" customHeight="1" x14ac:dyDescent="0.2">
      <c r="A14" s="594" t="s">
        <v>344</v>
      </c>
      <c r="B14" s="594"/>
      <c r="C14" s="594"/>
      <c r="D14" s="594"/>
      <c r="E14" s="594"/>
      <c r="F14" s="594"/>
      <c r="G14" s="594"/>
      <c r="H14" s="594"/>
      <c r="I14" s="594"/>
      <c r="J14" s="594"/>
      <c r="K14" s="594"/>
    </row>
    <row r="15" spans="1:16" s="189" customFormat="1" ht="15" customHeight="1" x14ac:dyDescent="0.2">
      <c r="A15" s="174" t="s">
        <v>689</v>
      </c>
      <c r="B15" s="175"/>
      <c r="C15" s="175"/>
      <c r="D15" s="175"/>
      <c r="E15" s="175"/>
      <c r="F15" s="175"/>
      <c r="G15" s="175"/>
      <c r="H15" s="175"/>
      <c r="I15" s="175"/>
      <c r="J15" s="175"/>
      <c r="K15" s="175"/>
    </row>
    <row r="16" spans="1:16" s="189" customFormat="1" ht="13.5" customHeight="1" x14ac:dyDescent="0.2">
      <c r="A16" s="594" t="s">
        <v>846</v>
      </c>
      <c r="B16" s="594"/>
      <c r="C16" s="594"/>
      <c r="D16" s="594"/>
      <c r="E16" s="594"/>
      <c r="F16" s="594"/>
      <c r="G16" s="594"/>
      <c r="H16" s="594"/>
      <c r="I16" s="594"/>
      <c r="J16" s="594"/>
      <c r="K16" s="594"/>
    </row>
    <row r="17" spans="1:11" s="189" customFormat="1" ht="13.5" customHeight="1" x14ac:dyDescent="0.2">
      <c r="A17" s="594" t="s">
        <v>123</v>
      </c>
      <c r="B17" s="594"/>
      <c r="C17" s="594"/>
      <c r="D17" s="594"/>
      <c r="E17" s="594"/>
      <c r="F17" s="594"/>
      <c r="G17" s="594"/>
      <c r="H17" s="594"/>
      <c r="I17" s="594"/>
      <c r="J17" s="594"/>
      <c r="K17" s="594"/>
    </row>
    <row r="18" spans="1:11" s="125" customFormat="1" ht="28.35" customHeight="1" x14ac:dyDescent="0.2"/>
  </sheetData>
  <mergeCells count="9">
    <mergeCell ref="A17:K17"/>
    <mergeCell ref="A1:K1"/>
    <mergeCell ref="B2:F2"/>
    <mergeCell ref="G2:K2"/>
    <mergeCell ref="L2:P2"/>
    <mergeCell ref="A9:P9"/>
    <mergeCell ref="A14:K14"/>
    <mergeCell ref="A16:K16"/>
    <mergeCell ref="A4:P4"/>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
  <sheetViews>
    <sheetView zoomScaleNormal="100" workbookViewId="0">
      <selection activeCell="G10" sqref="G10"/>
    </sheetView>
  </sheetViews>
  <sheetFormatPr defaultRowHeight="15" x14ac:dyDescent="0.25"/>
  <cols>
    <col min="1" max="1" width="8.7109375" style="123" customWidth="1"/>
    <col min="2" max="2" width="7.28515625" style="123" customWidth="1"/>
    <col min="3" max="3" width="9.7109375" style="123" customWidth="1"/>
    <col min="4" max="4" width="10" style="123" customWidth="1"/>
    <col min="5" max="5" width="11" style="123" customWidth="1"/>
    <col min="6" max="6" width="8.85546875" style="123" customWidth="1"/>
    <col min="7" max="7" width="9.28515625" style="123" customWidth="1"/>
    <col min="8" max="8" width="11.28515625" style="123" customWidth="1"/>
    <col min="9" max="9" width="8.42578125" style="123" customWidth="1"/>
    <col min="10" max="10" width="10.7109375" style="123" customWidth="1"/>
    <col min="11" max="11" width="10.140625" style="123" customWidth="1"/>
    <col min="12" max="12" width="12.7109375" style="123" customWidth="1"/>
    <col min="13" max="13" width="11.140625" style="123" customWidth="1"/>
    <col min="14" max="14" width="10.42578125" style="123" customWidth="1"/>
    <col min="15" max="15" width="9.28515625" style="123" customWidth="1"/>
    <col min="16" max="16" width="9" style="123" customWidth="1"/>
    <col min="17" max="17" width="10" style="123" customWidth="1"/>
    <col min="18" max="18" width="8.140625" style="123" bestFit="1" customWidth="1"/>
    <col min="19" max="19" width="9.42578125" style="123" bestFit="1" customWidth="1"/>
    <col min="20" max="16384" width="9.140625" style="123"/>
  </cols>
  <sheetData>
    <row r="1" spans="1:17" ht="13.5" customHeight="1" x14ac:dyDescent="0.25">
      <c r="A1" s="612" t="str">
        <f>'Data Summary'!$A$34</f>
        <v>Table 32:  Settlement Statistics for Cash Segment of BSE</v>
      </c>
      <c r="B1" s="612"/>
      <c r="C1" s="612"/>
      <c r="D1" s="612"/>
      <c r="E1" s="612"/>
      <c r="F1" s="612"/>
      <c r="G1" s="612"/>
      <c r="H1" s="612"/>
      <c r="I1" s="612"/>
    </row>
    <row r="2" spans="1:17" s="122" customFormat="1" ht="88.5" customHeight="1" x14ac:dyDescent="0.2">
      <c r="A2" s="146" t="s">
        <v>345</v>
      </c>
      <c r="B2" s="146" t="s">
        <v>154</v>
      </c>
      <c r="C2" s="146" t="s">
        <v>346</v>
      </c>
      <c r="D2" s="146" t="s">
        <v>347</v>
      </c>
      <c r="E2" s="146" t="s">
        <v>348</v>
      </c>
      <c r="F2" s="7" t="s">
        <v>156</v>
      </c>
      <c r="G2" s="7" t="s">
        <v>349</v>
      </c>
      <c r="H2" s="124" t="s">
        <v>350</v>
      </c>
      <c r="I2" s="124" t="s">
        <v>351</v>
      </c>
      <c r="J2" s="124" t="s">
        <v>352</v>
      </c>
      <c r="K2" s="7" t="s">
        <v>353</v>
      </c>
      <c r="L2" s="124" t="s">
        <v>354</v>
      </c>
      <c r="M2" s="124" t="s">
        <v>355</v>
      </c>
      <c r="N2" s="124" t="s">
        <v>356</v>
      </c>
      <c r="O2" s="7" t="s">
        <v>357</v>
      </c>
      <c r="P2" s="7" t="s">
        <v>358</v>
      </c>
      <c r="Q2" s="7" t="s">
        <v>359</v>
      </c>
    </row>
    <row r="3" spans="1:17" s="122" customFormat="1" ht="18" customHeight="1" x14ac:dyDescent="0.2">
      <c r="A3" s="190" t="s">
        <v>5</v>
      </c>
      <c r="B3" s="154">
        <v>3145.2410599999998</v>
      </c>
      <c r="C3" s="131">
        <v>518108</v>
      </c>
      <c r="D3" s="131">
        <v>195611.69925000001</v>
      </c>
      <c r="E3" s="176">
        <v>37.528771651</v>
      </c>
      <c r="F3" s="131">
        <v>775589.75</v>
      </c>
      <c r="G3" s="131">
        <v>261208.29157517999</v>
      </c>
      <c r="H3" s="499">
        <v>33.097800724999999</v>
      </c>
      <c r="I3" s="131">
        <v>195277.88641000001</v>
      </c>
      <c r="J3" s="176">
        <v>99.814041696999993</v>
      </c>
      <c r="K3" s="131">
        <v>261207.80458154</v>
      </c>
      <c r="L3" s="500">
        <v>99.994166667000002</v>
      </c>
      <c r="M3" s="501">
        <v>458.18738999999999</v>
      </c>
      <c r="N3" s="502">
        <v>0.22265528900000001</v>
      </c>
      <c r="O3" s="131">
        <v>109583.71120999999</v>
      </c>
      <c r="P3" s="131">
        <v>194997.75012000001</v>
      </c>
      <c r="Q3" s="501">
        <v>207.14</v>
      </c>
    </row>
    <row r="4" spans="1:17" s="144" customFormat="1" ht="12.75" x14ac:dyDescent="0.2">
      <c r="A4" s="190" t="s">
        <v>6</v>
      </c>
      <c r="B4" s="154">
        <f>SUM(B5:B16)</f>
        <v>542.56076000000007</v>
      </c>
      <c r="C4" s="131">
        <f>SUM(C5:C16)</f>
        <v>105627.99999999999</v>
      </c>
      <c r="D4" s="154">
        <f>SUM(D5:D16)</f>
        <v>66586.064299999998</v>
      </c>
      <c r="E4" s="176">
        <f>AVERAGE(E5:E16)</f>
        <v>59.990912627068823</v>
      </c>
      <c r="F4" s="131">
        <f>SUM(F5:F16)</f>
        <v>118541.22</v>
      </c>
      <c r="G4" s="154">
        <f>SUM(G5:G16)</f>
        <v>38549.182253498002</v>
      </c>
      <c r="H4" s="499">
        <f>AVERAGE(H5:H16)</f>
        <v>32.594666474998277</v>
      </c>
      <c r="I4" s="154">
        <f>SUM(I5:I16)</f>
        <v>33499.44874</v>
      </c>
      <c r="J4" s="176">
        <f>AVERAGE(J5:J16)</f>
        <v>66.792195885693275</v>
      </c>
      <c r="K4" s="154">
        <f>SUM(K5:K16)</f>
        <v>38135.699779821</v>
      </c>
      <c r="L4" s="500">
        <f>AVERAGE(L5:L16)</f>
        <v>98.93645906191108</v>
      </c>
      <c r="M4" s="501">
        <f>SUM(M5:M16)</f>
        <v>65.794390000000007</v>
      </c>
      <c r="N4" s="502">
        <f>AVERAGE(N5:N16)</f>
        <v>0.19526782684385979</v>
      </c>
      <c r="O4" s="154">
        <f>SUM(O5:O6)</f>
        <v>16710.6980559</v>
      </c>
      <c r="P4" s="154">
        <f t="shared" ref="P4:Q4" si="0">SUM(P5:P6)</f>
        <v>38594.172934148999</v>
      </c>
      <c r="Q4" s="501">
        <f t="shared" si="0"/>
        <v>418.03</v>
      </c>
    </row>
    <row r="5" spans="1:17" s="145" customFormat="1" ht="12.75" x14ac:dyDescent="0.2">
      <c r="A5" s="156" t="s">
        <v>70</v>
      </c>
      <c r="B5" s="154">
        <v>254.76076</v>
      </c>
      <c r="C5" s="154">
        <v>59514.999999999985</v>
      </c>
      <c r="D5" s="154">
        <v>49993.686300000001</v>
      </c>
      <c r="E5" s="176">
        <v>84.001825254137643</v>
      </c>
      <c r="F5" s="154">
        <v>56860.88</v>
      </c>
      <c r="G5" s="154">
        <v>19548.391253497997</v>
      </c>
      <c r="H5" s="499">
        <v>34.379332949996552</v>
      </c>
      <c r="I5" s="154">
        <v>16965.053370000001</v>
      </c>
      <c r="J5" s="176">
        <v>33.934391771386544</v>
      </c>
      <c r="K5" s="154">
        <v>19191.226139820999</v>
      </c>
      <c r="L5" s="500">
        <v>98.172918123822157</v>
      </c>
      <c r="M5" s="501">
        <v>30.627970000000001</v>
      </c>
      <c r="N5" s="502">
        <v>0.18053565368771959</v>
      </c>
      <c r="O5" s="154">
        <v>10404.407995900001</v>
      </c>
      <c r="P5" s="154">
        <v>19570.153934149002</v>
      </c>
      <c r="Q5" s="501">
        <v>208.35</v>
      </c>
    </row>
    <row r="6" spans="1:17" s="145" customFormat="1" ht="12.75" x14ac:dyDescent="0.2">
      <c r="A6" s="188">
        <v>43586</v>
      </c>
      <c r="B6" s="154">
        <v>287.8</v>
      </c>
      <c r="C6" s="154">
        <v>46113</v>
      </c>
      <c r="D6" s="154">
        <v>16592.378000000001</v>
      </c>
      <c r="E6" s="176">
        <v>35.979999999999997</v>
      </c>
      <c r="F6" s="154">
        <v>61680.34</v>
      </c>
      <c r="G6" s="154">
        <v>19000.791000000001</v>
      </c>
      <c r="H6" s="499">
        <v>30.81</v>
      </c>
      <c r="I6" s="154">
        <v>16534.395369999998</v>
      </c>
      <c r="J6" s="176">
        <v>99.65</v>
      </c>
      <c r="K6" s="154">
        <v>18944.47364</v>
      </c>
      <c r="L6" s="500">
        <v>99.7</v>
      </c>
      <c r="M6" s="501">
        <v>35.166420000000002</v>
      </c>
      <c r="N6" s="502">
        <v>0.21</v>
      </c>
      <c r="O6" s="154">
        <v>6306.2900600000003</v>
      </c>
      <c r="P6" s="154">
        <v>19024.019</v>
      </c>
      <c r="Q6" s="501">
        <v>209.68</v>
      </c>
    </row>
    <row r="7" spans="1:17" s="125" customFormat="1" ht="15" customHeight="1" x14ac:dyDescent="0.25">
      <c r="A7" s="599" t="s">
        <v>846</v>
      </c>
      <c r="B7" s="599"/>
      <c r="C7" s="599"/>
      <c r="D7" s="599"/>
    </row>
    <row r="8" spans="1:17" s="125" customFormat="1" ht="13.5" customHeight="1" x14ac:dyDescent="0.25">
      <c r="A8" s="599" t="s">
        <v>225</v>
      </c>
      <c r="B8" s="599"/>
      <c r="C8" s="599"/>
      <c r="D8" s="599"/>
    </row>
    <row r="9" spans="1:17" s="125" customFormat="1" ht="28.35" customHeight="1" x14ac:dyDescent="0.2"/>
  </sheetData>
  <mergeCells count="3">
    <mergeCell ref="A1:I1"/>
    <mergeCell ref="A7:D7"/>
    <mergeCell ref="A8:D8"/>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zoomScaleNormal="100" workbookViewId="0">
      <selection activeCell="H9" sqref="H9"/>
    </sheetView>
  </sheetViews>
  <sheetFormatPr defaultRowHeight="15" x14ac:dyDescent="0.25"/>
  <cols>
    <col min="1" max="1" width="8.85546875" style="123" customWidth="1"/>
    <col min="2" max="2" width="7.7109375" style="123" customWidth="1"/>
    <col min="3" max="3" width="9.7109375" style="123" customWidth="1"/>
    <col min="4" max="4" width="8.5703125" style="123" customWidth="1"/>
    <col min="5" max="5" width="9.42578125" style="123" customWidth="1"/>
    <col min="6" max="6" width="9.28515625" style="123" customWidth="1"/>
    <col min="7" max="7" width="8.42578125" style="123" customWidth="1"/>
    <col min="8" max="8" width="10.28515625" style="123" customWidth="1"/>
    <col min="9" max="9" width="11.42578125" style="123" bestFit="1" customWidth="1"/>
    <col min="10" max="10" width="12.42578125" style="123" customWidth="1"/>
    <col min="11" max="11" width="9.5703125" style="123" customWidth="1"/>
    <col min="12" max="12" width="10.42578125" style="123" customWidth="1"/>
    <col min="13" max="13" width="11.85546875" style="123" customWidth="1"/>
    <col min="14" max="14" width="11.5703125" style="123" customWidth="1"/>
    <col min="15" max="15" width="9.42578125" style="123" customWidth="1"/>
    <col min="16" max="16" width="9.140625" style="123" customWidth="1"/>
    <col min="17" max="17" width="9.7109375" style="123" customWidth="1"/>
    <col min="18" max="16384" width="9.140625" style="123"/>
  </cols>
  <sheetData>
    <row r="1" spans="1:17" ht="18" customHeight="1" x14ac:dyDescent="0.25">
      <c r="A1" s="574" t="str">
        <f>'Data Summary'!$A$35</f>
        <v>Table 33:  Settlement Statistics for Cash Segment of NSE</v>
      </c>
      <c r="B1" s="574"/>
      <c r="C1" s="574"/>
      <c r="D1" s="574"/>
      <c r="E1" s="574"/>
      <c r="F1" s="574"/>
      <c r="G1" s="574"/>
      <c r="H1" s="574"/>
      <c r="I1" s="574"/>
    </row>
    <row r="2" spans="1:17" s="122" customFormat="1" ht="90.75" customHeight="1" x14ac:dyDescent="0.2">
      <c r="A2" s="146" t="s">
        <v>345</v>
      </c>
      <c r="B2" s="146" t="s">
        <v>154</v>
      </c>
      <c r="C2" s="146" t="s">
        <v>346</v>
      </c>
      <c r="D2" s="146" t="s">
        <v>347</v>
      </c>
      <c r="E2" s="146" t="s">
        <v>348</v>
      </c>
      <c r="F2" s="7" t="s">
        <v>156</v>
      </c>
      <c r="G2" s="7" t="s">
        <v>360</v>
      </c>
      <c r="H2" s="146" t="s">
        <v>350</v>
      </c>
      <c r="I2" s="146" t="s">
        <v>351</v>
      </c>
      <c r="J2" s="146" t="s">
        <v>352</v>
      </c>
      <c r="K2" s="7" t="s">
        <v>987</v>
      </c>
      <c r="L2" s="146" t="s">
        <v>354</v>
      </c>
      <c r="M2" s="146" t="s">
        <v>355</v>
      </c>
      <c r="N2" s="146" t="s">
        <v>356</v>
      </c>
      <c r="O2" s="7" t="s">
        <v>357</v>
      </c>
      <c r="P2" s="7" t="s">
        <v>358</v>
      </c>
      <c r="Q2" s="7" t="s">
        <v>359</v>
      </c>
    </row>
    <row r="3" spans="1:17" s="122" customFormat="1" ht="18" customHeight="1" x14ac:dyDescent="0.2">
      <c r="A3" s="190" t="s">
        <v>5</v>
      </c>
      <c r="B3" s="503">
        <v>28452.85</v>
      </c>
      <c r="C3" s="504">
        <v>3668649.11</v>
      </c>
      <c r="D3" s="504">
        <v>845400.34</v>
      </c>
      <c r="E3" s="505">
        <v>23.04</v>
      </c>
      <c r="F3" s="504">
        <v>7912284.4900000002</v>
      </c>
      <c r="G3" s="504">
        <v>1950906.33</v>
      </c>
      <c r="H3" s="505">
        <v>24.66</v>
      </c>
      <c r="I3" s="504">
        <v>844261.48</v>
      </c>
      <c r="J3" s="506">
        <v>100</v>
      </c>
      <c r="K3" s="504">
        <v>1949508.07</v>
      </c>
      <c r="L3" s="505">
        <v>100</v>
      </c>
      <c r="M3" s="503">
        <v>1138.8599999999999</v>
      </c>
      <c r="N3" s="505">
        <v>0.13</v>
      </c>
      <c r="O3" s="504">
        <v>533294.54</v>
      </c>
      <c r="P3" s="504">
        <v>1950906.33</v>
      </c>
      <c r="Q3" s="507">
        <v>270.69</v>
      </c>
    </row>
    <row r="4" spans="1:17" s="145" customFormat="1" ht="12.75" x14ac:dyDescent="0.2">
      <c r="A4" s="190" t="s">
        <v>6</v>
      </c>
      <c r="B4" s="503">
        <v>4900.2110199999997</v>
      </c>
      <c r="C4" s="504">
        <v>683447.89740000002</v>
      </c>
      <c r="D4" s="504">
        <v>166920.57209999999</v>
      </c>
      <c r="E4" s="505">
        <v>24.423306119999999</v>
      </c>
      <c r="F4" s="504">
        <v>1439247.5660000001</v>
      </c>
      <c r="G4" s="504">
        <v>348165.63160000002</v>
      </c>
      <c r="H4" s="505">
        <v>24.190809130000002</v>
      </c>
      <c r="I4" s="504">
        <v>166703.97330000001</v>
      </c>
      <c r="J4" s="506">
        <v>100</v>
      </c>
      <c r="K4" s="504">
        <v>347887.12199999997</v>
      </c>
      <c r="L4" s="505">
        <v>100</v>
      </c>
      <c r="M4" s="503">
        <v>216.59887000000001</v>
      </c>
      <c r="N4" s="505">
        <v>0.129930238</v>
      </c>
      <c r="O4" s="503">
        <v>93472.44</v>
      </c>
      <c r="P4" s="504">
        <v>348165.63160000002</v>
      </c>
      <c r="Q4" s="507">
        <v>276.26</v>
      </c>
    </row>
    <row r="5" spans="1:17" s="145" customFormat="1" ht="12.75" x14ac:dyDescent="0.2">
      <c r="A5" s="156" t="s">
        <v>70</v>
      </c>
      <c r="B5" s="503">
        <v>2178.67535</v>
      </c>
      <c r="C5" s="504">
        <v>318767.12959999999</v>
      </c>
      <c r="D5" s="503">
        <v>83715.623930000002</v>
      </c>
      <c r="E5" s="505">
        <v>26.262313819999999</v>
      </c>
      <c r="F5" s="504">
        <v>660248.72569999995</v>
      </c>
      <c r="G5" s="504">
        <v>164990.22899999999</v>
      </c>
      <c r="H5" s="505">
        <v>24.989102219999999</v>
      </c>
      <c r="I5" s="503">
        <v>83612.943150000006</v>
      </c>
      <c r="J5" s="506">
        <v>100</v>
      </c>
      <c r="K5" s="504">
        <v>164854.60509999999</v>
      </c>
      <c r="L5" s="505">
        <v>100</v>
      </c>
      <c r="M5" s="503">
        <v>102.68078</v>
      </c>
      <c r="N5" s="505">
        <v>0.122654261</v>
      </c>
      <c r="O5" s="503">
        <v>43313.93</v>
      </c>
      <c r="P5" s="504">
        <v>164990.22899999999</v>
      </c>
      <c r="Q5" s="507">
        <v>273.14</v>
      </c>
    </row>
    <row r="6" spans="1:17" s="145" customFormat="1" ht="12.75" x14ac:dyDescent="0.2">
      <c r="A6" s="188">
        <v>43586</v>
      </c>
      <c r="B6" s="503">
        <v>2721.5356700000002</v>
      </c>
      <c r="C6" s="504">
        <v>364680.76779999997</v>
      </c>
      <c r="D6" s="503">
        <v>83204.948210000002</v>
      </c>
      <c r="E6" s="505">
        <v>22.815831150000001</v>
      </c>
      <c r="F6" s="504">
        <v>778998.8406</v>
      </c>
      <c r="G6" s="504">
        <v>183175.4026</v>
      </c>
      <c r="H6" s="505">
        <v>23.51420735</v>
      </c>
      <c r="I6" s="503">
        <v>83091.030119999996</v>
      </c>
      <c r="J6" s="506">
        <v>100</v>
      </c>
      <c r="K6" s="504">
        <v>183032.51680000001</v>
      </c>
      <c r="L6" s="505">
        <v>100</v>
      </c>
      <c r="M6" s="503">
        <v>113.91809000000001</v>
      </c>
      <c r="N6" s="505">
        <v>0.13710034600000001</v>
      </c>
      <c r="O6" s="503">
        <v>50158.51</v>
      </c>
      <c r="P6" s="504">
        <v>183175.4026</v>
      </c>
      <c r="Q6" s="507">
        <v>276.26</v>
      </c>
    </row>
    <row r="7" spans="1:17" s="125" customFormat="1" ht="15" customHeight="1" x14ac:dyDescent="0.2">
      <c r="A7" s="575" t="s">
        <v>361</v>
      </c>
      <c r="B7" s="575"/>
      <c r="C7" s="575"/>
      <c r="D7" s="575"/>
    </row>
    <row r="8" spans="1:17" s="125" customFormat="1" ht="13.5" customHeight="1" x14ac:dyDescent="0.2">
      <c r="A8" s="575" t="s">
        <v>846</v>
      </c>
      <c r="B8" s="575"/>
      <c r="C8" s="575"/>
      <c r="D8" s="575"/>
    </row>
    <row r="9" spans="1:17" s="125" customFormat="1" ht="13.5" customHeight="1" x14ac:dyDescent="0.2">
      <c r="A9" s="575" t="s">
        <v>276</v>
      </c>
      <c r="B9" s="575"/>
      <c r="C9" s="575"/>
      <c r="D9" s="575"/>
    </row>
    <row r="10" spans="1:17" s="125" customFormat="1" ht="26.85" customHeight="1" x14ac:dyDescent="0.2"/>
  </sheetData>
  <mergeCells count="4">
    <mergeCell ref="A1:I1"/>
    <mergeCell ref="A7:D7"/>
    <mergeCell ref="A8:D8"/>
    <mergeCell ref="A9:D9"/>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
  <sheetViews>
    <sheetView zoomScaleNormal="100" workbookViewId="0">
      <selection activeCell="J9" sqref="J9"/>
    </sheetView>
  </sheetViews>
  <sheetFormatPr defaultRowHeight="15" x14ac:dyDescent="0.25"/>
  <cols>
    <col min="1" max="1" width="8.28515625" style="123" customWidth="1"/>
    <col min="2" max="2" width="9.5703125" style="123" customWidth="1"/>
    <col min="3" max="3" width="8.42578125" style="123" customWidth="1"/>
    <col min="4" max="4" width="9.140625" style="123" customWidth="1"/>
    <col min="5" max="5" width="11.5703125" style="123" customWidth="1"/>
    <col min="6" max="6" width="8.5703125" style="123" customWidth="1"/>
    <col min="7" max="7" width="7.7109375" style="123" customWidth="1"/>
    <col min="8" max="8" width="9.85546875" style="123" customWidth="1"/>
    <col min="9" max="9" width="10.28515625" style="123" customWidth="1"/>
    <col min="10" max="10" width="10.5703125" style="123" customWidth="1"/>
    <col min="11" max="11" width="9.140625" style="123" customWidth="1"/>
    <col min="12" max="12" width="10.42578125" style="123" customWidth="1"/>
    <col min="13" max="13" width="9" style="123" customWidth="1"/>
    <col min="14" max="14" width="8.42578125" style="123" customWidth="1"/>
    <col min="15" max="15" width="9.85546875" style="123" customWidth="1"/>
    <col min="16" max="16384" width="9.140625" style="123"/>
  </cols>
  <sheetData>
    <row r="1" spans="1:16" ht="14.25" customHeight="1" x14ac:dyDescent="0.25">
      <c r="A1" s="151" t="str">
        <f>'Data Summary'!$A$36</f>
        <v>Table 34:  Settlement Statistics for Cash Segment of MSEI</v>
      </c>
      <c r="B1" s="151"/>
      <c r="C1" s="151"/>
    </row>
    <row r="2" spans="1:16" s="122" customFormat="1" ht="100.5" customHeight="1" x14ac:dyDescent="0.2">
      <c r="A2" s="124" t="s">
        <v>345</v>
      </c>
      <c r="B2" s="124" t="s">
        <v>154</v>
      </c>
      <c r="C2" s="124" t="s">
        <v>155</v>
      </c>
      <c r="D2" s="124" t="s">
        <v>347</v>
      </c>
      <c r="E2" s="124" t="s">
        <v>348</v>
      </c>
      <c r="F2" s="124" t="s">
        <v>172</v>
      </c>
      <c r="G2" s="124" t="s">
        <v>362</v>
      </c>
      <c r="H2" s="124" t="s">
        <v>350</v>
      </c>
      <c r="I2" s="124" t="s">
        <v>351</v>
      </c>
      <c r="J2" s="124" t="s">
        <v>352</v>
      </c>
      <c r="K2" s="124" t="s">
        <v>988</v>
      </c>
      <c r="L2" s="124" t="s">
        <v>354</v>
      </c>
      <c r="M2" s="124" t="s">
        <v>363</v>
      </c>
      <c r="N2" s="124" t="s">
        <v>364</v>
      </c>
      <c r="O2" s="124" t="s">
        <v>365</v>
      </c>
    </row>
    <row r="3" spans="1:16" s="122" customFormat="1" ht="18" customHeight="1" x14ac:dyDescent="0.2">
      <c r="A3" s="209" t="s">
        <v>5</v>
      </c>
      <c r="B3" s="301">
        <v>1.915E-2</v>
      </c>
      <c r="C3" s="302">
        <v>14.16864</v>
      </c>
      <c r="D3" s="302">
        <v>14.16864</v>
      </c>
      <c r="E3" s="302">
        <v>100</v>
      </c>
      <c r="F3" s="302">
        <v>30.293251940000001</v>
      </c>
      <c r="G3" s="302">
        <v>30.293251940000001</v>
      </c>
      <c r="H3" s="302">
        <v>100</v>
      </c>
      <c r="I3" s="302">
        <v>14.16864</v>
      </c>
      <c r="J3" s="302">
        <v>100</v>
      </c>
      <c r="K3" s="302">
        <v>30.293251940000001</v>
      </c>
      <c r="L3" s="303">
        <v>100</v>
      </c>
      <c r="M3" s="302">
        <v>30.293251940000001</v>
      </c>
      <c r="N3" s="302">
        <v>30.293251940000001</v>
      </c>
      <c r="O3" s="302">
        <v>0.32</v>
      </c>
    </row>
    <row r="4" spans="1:16" s="199" customFormat="1" x14ac:dyDescent="0.2">
      <c r="A4" s="209" t="s">
        <v>6</v>
      </c>
      <c r="B4" s="301">
        <f>SUM(B5:B16)</f>
        <v>4.13E-3</v>
      </c>
      <c r="C4" s="302">
        <f t="shared" ref="C4:D4" si="0">SUM(C5:C17)</f>
        <v>7.5401800000000003</v>
      </c>
      <c r="D4" s="302">
        <f t="shared" si="0"/>
        <v>7.5401800000000003</v>
      </c>
      <c r="E4" s="302">
        <f t="shared" ref="E4:E6" si="1">D4/C4*100</f>
        <v>100</v>
      </c>
      <c r="F4" s="302">
        <f t="shared" ref="F4" si="2">SUM(F5:F17)</f>
        <v>14.614637420000001</v>
      </c>
      <c r="G4" s="302">
        <f t="shared" ref="G4:K4" si="3">SUM(G5:G17)</f>
        <v>14.614637420000001</v>
      </c>
      <c r="H4" s="302">
        <v>100</v>
      </c>
      <c r="I4" s="302">
        <f t="shared" si="3"/>
        <v>7.5401800000000003</v>
      </c>
      <c r="J4" s="302">
        <v>100</v>
      </c>
      <c r="K4" s="302">
        <f t="shared" si="3"/>
        <v>14.614637420000001</v>
      </c>
      <c r="L4" s="303">
        <v>100</v>
      </c>
      <c r="M4" s="302">
        <f t="shared" ref="M4:N4" si="4">SUM(M5:M17)</f>
        <v>14.614637420000001</v>
      </c>
      <c r="N4" s="302">
        <f t="shared" si="4"/>
        <v>14.614637420000001</v>
      </c>
      <c r="O4" s="302">
        <v>0.35</v>
      </c>
      <c r="P4" s="198"/>
    </row>
    <row r="5" spans="1:16" s="201" customFormat="1" x14ac:dyDescent="0.2">
      <c r="A5" s="157" t="s">
        <v>70</v>
      </c>
      <c r="B5" s="301">
        <v>2.2699999999999999E-3</v>
      </c>
      <c r="C5" s="302">
        <v>3.8297400000000001</v>
      </c>
      <c r="D5" s="302">
        <v>3.8297400000000001</v>
      </c>
      <c r="E5" s="302">
        <f t="shared" si="1"/>
        <v>100</v>
      </c>
      <c r="F5" s="302">
        <v>7.4556996</v>
      </c>
      <c r="G5" s="302">
        <v>7.4556996</v>
      </c>
      <c r="H5" s="302">
        <v>100</v>
      </c>
      <c r="I5" s="302">
        <v>3.8297400000000001</v>
      </c>
      <c r="J5" s="302">
        <v>100</v>
      </c>
      <c r="K5" s="302">
        <v>7.4556996</v>
      </c>
      <c r="L5" s="303">
        <v>100</v>
      </c>
      <c r="M5" s="302">
        <v>7.4556996</v>
      </c>
      <c r="N5" s="302">
        <v>7.4556996</v>
      </c>
      <c r="O5" s="302">
        <v>0.32</v>
      </c>
      <c r="P5" s="200"/>
    </row>
    <row r="6" spans="1:16" s="201" customFormat="1" x14ac:dyDescent="0.2">
      <c r="A6" s="210">
        <v>43586</v>
      </c>
      <c r="B6" s="301">
        <v>1.8600000000000001E-3</v>
      </c>
      <c r="C6" s="302">
        <v>3.7104400000000002</v>
      </c>
      <c r="D6" s="302">
        <v>3.7104400000000002</v>
      </c>
      <c r="E6" s="302">
        <f t="shared" si="1"/>
        <v>100</v>
      </c>
      <c r="F6" s="302">
        <v>7.1589378200000002</v>
      </c>
      <c r="G6" s="302">
        <v>7.1589378200000002</v>
      </c>
      <c r="H6" s="302">
        <v>100</v>
      </c>
      <c r="I6" s="302">
        <v>3.7104400000000002</v>
      </c>
      <c r="J6" s="302">
        <v>100</v>
      </c>
      <c r="K6" s="302">
        <v>7.1589378200000002</v>
      </c>
      <c r="L6" s="303">
        <v>100</v>
      </c>
      <c r="M6" s="302">
        <v>7.1589378200000002</v>
      </c>
      <c r="N6" s="302">
        <v>7.1589378200000002</v>
      </c>
      <c r="O6" s="302">
        <v>0.35</v>
      </c>
      <c r="P6" s="200"/>
    </row>
    <row r="7" spans="1:16" s="125" customFormat="1" ht="18" customHeight="1" x14ac:dyDescent="0.2">
      <c r="A7" s="649" t="str">
        <f>'12'!$A$8</f>
        <v>$ indicatesas on May 31, 2019</v>
      </c>
      <c r="B7" s="649"/>
      <c r="C7" s="649"/>
      <c r="D7" s="649"/>
      <c r="E7" s="649"/>
      <c r="F7" s="649"/>
      <c r="G7" s="649"/>
      <c r="H7" s="649"/>
      <c r="I7" s="649"/>
      <c r="J7" s="649"/>
      <c r="K7" s="649"/>
      <c r="L7" s="649"/>
      <c r="M7" s="649"/>
      <c r="N7" s="649"/>
      <c r="O7" s="649"/>
    </row>
    <row r="8" spans="1:16" s="125" customFormat="1" ht="17.25" customHeight="1" x14ac:dyDescent="0.2">
      <c r="A8" s="649" t="s">
        <v>319</v>
      </c>
      <c r="B8" s="649"/>
      <c r="C8" s="649"/>
      <c r="D8" s="649"/>
      <c r="E8" s="649"/>
      <c r="F8" s="649"/>
      <c r="G8" s="649"/>
      <c r="H8" s="649"/>
      <c r="I8" s="649"/>
      <c r="J8" s="649"/>
      <c r="K8" s="649"/>
      <c r="L8" s="649"/>
      <c r="M8" s="649"/>
      <c r="N8" s="649"/>
      <c r="O8" s="649"/>
    </row>
    <row r="9" spans="1:16" s="125" customFormat="1" ht="28.35" customHeight="1" x14ac:dyDescent="0.2"/>
  </sheetData>
  <mergeCells count="2">
    <mergeCell ref="A7:O7"/>
    <mergeCell ref="A8:O8"/>
  </mergeCell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zoomScaleNormal="100" workbookViewId="0">
      <selection activeCell="F8" sqref="F8"/>
    </sheetView>
  </sheetViews>
  <sheetFormatPr defaultRowHeight="15" x14ac:dyDescent="0.25"/>
  <cols>
    <col min="1" max="1" width="8.42578125" style="123" customWidth="1"/>
    <col min="2" max="2" width="9.140625" style="123" bestFit="1" customWidth="1"/>
    <col min="3" max="3" width="10.140625" style="123" bestFit="1" customWidth="1"/>
    <col min="4" max="4" width="9.42578125" style="123" bestFit="1" customWidth="1"/>
    <col min="5" max="5" width="10.140625" style="123" bestFit="1" customWidth="1"/>
    <col min="6" max="6" width="9.5703125" style="123" bestFit="1" customWidth="1"/>
    <col min="7" max="11" width="10.140625" style="123" bestFit="1" customWidth="1"/>
    <col min="12" max="12" width="9.85546875" style="123" bestFit="1" customWidth="1"/>
    <col min="13" max="13" width="9.28515625" style="123" bestFit="1" customWidth="1"/>
    <col min="14" max="14" width="10.28515625" style="123" bestFit="1" customWidth="1"/>
    <col min="15" max="15" width="11.7109375" style="123" bestFit="1" customWidth="1"/>
    <col min="16" max="16" width="9.7109375" style="123" bestFit="1" customWidth="1"/>
    <col min="17" max="17" width="8.28515625" style="123" bestFit="1" customWidth="1"/>
    <col min="18" max="18" width="9.140625" style="123" bestFit="1" customWidth="1"/>
    <col min="19" max="19" width="4.7109375" style="123" bestFit="1" customWidth="1"/>
    <col min="20" max="16384" width="9.140625" style="123"/>
  </cols>
  <sheetData>
    <row r="1" spans="1:18" ht="18" customHeight="1" x14ac:dyDescent="0.25">
      <c r="A1" s="574" t="str">
        <f>'Data Summary'!$A$37</f>
        <v xml:space="preserve">Table 35:  Trends in Equity Derivatives Segment at BSE </v>
      </c>
      <c r="B1" s="574"/>
      <c r="C1" s="574"/>
      <c r="D1" s="574"/>
      <c r="E1" s="574"/>
      <c r="F1" s="574"/>
      <c r="G1" s="574"/>
      <c r="H1" s="574"/>
      <c r="I1" s="574"/>
      <c r="J1" s="574"/>
      <c r="K1" s="574"/>
      <c r="L1" s="574"/>
      <c r="M1" s="574"/>
      <c r="N1" s="574"/>
      <c r="O1" s="574"/>
      <c r="P1" s="574"/>
      <c r="Q1" s="574"/>
      <c r="R1" s="574"/>
    </row>
    <row r="2" spans="1:18" s="125" customFormat="1" ht="25.5" customHeight="1" x14ac:dyDescent="0.2">
      <c r="A2" s="591" t="s">
        <v>366</v>
      </c>
      <c r="B2" s="591" t="s">
        <v>153</v>
      </c>
      <c r="C2" s="614" t="s">
        <v>367</v>
      </c>
      <c r="D2" s="615"/>
      <c r="E2" s="614" t="s">
        <v>368</v>
      </c>
      <c r="F2" s="615"/>
      <c r="G2" s="618" t="s">
        <v>369</v>
      </c>
      <c r="H2" s="619"/>
      <c r="I2" s="619"/>
      <c r="J2" s="620"/>
      <c r="K2" s="618" t="s">
        <v>370</v>
      </c>
      <c r="L2" s="619"/>
      <c r="M2" s="619"/>
      <c r="N2" s="620"/>
      <c r="O2" s="614" t="s">
        <v>64</v>
      </c>
      <c r="P2" s="615"/>
      <c r="Q2" s="650" t="s">
        <v>371</v>
      </c>
      <c r="R2" s="651"/>
    </row>
    <row r="3" spans="1:18" s="125" customFormat="1" ht="13.5" customHeight="1" x14ac:dyDescent="0.2">
      <c r="A3" s="613"/>
      <c r="B3" s="613"/>
      <c r="C3" s="616"/>
      <c r="D3" s="617"/>
      <c r="E3" s="616"/>
      <c r="F3" s="617"/>
      <c r="G3" s="618" t="s">
        <v>372</v>
      </c>
      <c r="H3" s="620"/>
      <c r="I3" s="618" t="s">
        <v>373</v>
      </c>
      <c r="J3" s="620"/>
      <c r="K3" s="618" t="s">
        <v>372</v>
      </c>
      <c r="L3" s="620"/>
      <c r="M3" s="618" t="s">
        <v>373</v>
      </c>
      <c r="N3" s="620"/>
      <c r="O3" s="616"/>
      <c r="P3" s="617"/>
      <c r="Q3" s="652"/>
      <c r="R3" s="653"/>
    </row>
    <row r="4" spans="1:18" s="125" customFormat="1" ht="56.25" customHeight="1" x14ac:dyDescent="0.2">
      <c r="A4" s="592"/>
      <c r="B4" s="592"/>
      <c r="C4" s="304" t="s">
        <v>374</v>
      </c>
      <c r="D4" s="473" t="s">
        <v>375</v>
      </c>
      <c r="E4" s="304" t="s">
        <v>374</v>
      </c>
      <c r="F4" s="473" t="s">
        <v>375</v>
      </c>
      <c r="G4" s="304" t="s">
        <v>374</v>
      </c>
      <c r="H4" s="473" t="s">
        <v>375</v>
      </c>
      <c r="I4" s="304" t="s">
        <v>374</v>
      </c>
      <c r="J4" s="473" t="s">
        <v>375</v>
      </c>
      <c r="K4" s="304" t="s">
        <v>374</v>
      </c>
      <c r="L4" s="473" t="s">
        <v>375</v>
      </c>
      <c r="M4" s="304" t="s">
        <v>374</v>
      </c>
      <c r="N4" s="473" t="s">
        <v>375</v>
      </c>
      <c r="O4" s="304" t="s">
        <v>374</v>
      </c>
      <c r="P4" s="473" t="s">
        <v>375</v>
      </c>
      <c r="Q4" s="304" t="s">
        <v>376</v>
      </c>
      <c r="R4" s="473" t="s">
        <v>375</v>
      </c>
    </row>
    <row r="5" spans="1:18" s="125" customFormat="1" ht="15" customHeight="1" x14ac:dyDescent="0.25">
      <c r="A5" s="209" t="s">
        <v>5</v>
      </c>
      <c r="B5" s="126">
        <v>248</v>
      </c>
      <c r="C5" s="149">
        <v>438</v>
      </c>
      <c r="D5" s="149">
        <v>39.158369999999998</v>
      </c>
      <c r="E5" s="149">
        <v>271</v>
      </c>
      <c r="F5" s="149">
        <v>17.779123240000001</v>
      </c>
      <c r="G5" s="149">
        <v>19158</v>
      </c>
      <c r="H5" s="149">
        <v>1308.5016734999999</v>
      </c>
      <c r="I5" s="149">
        <v>11298</v>
      </c>
      <c r="J5" s="149">
        <v>884.62804249999999</v>
      </c>
      <c r="K5" s="149">
        <v>2</v>
      </c>
      <c r="L5" s="149">
        <v>7.5679999999999997E-2</v>
      </c>
      <c r="M5" s="149">
        <v>0</v>
      </c>
      <c r="N5" s="149">
        <v>0</v>
      </c>
      <c r="O5" s="149">
        <v>31167</v>
      </c>
      <c r="P5" s="149">
        <v>2250.1428892399999</v>
      </c>
      <c r="Q5" s="149">
        <v>9</v>
      </c>
      <c r="R5" s="149">
        <v>0.67341037000000004</v>
      </c>
    </row>
    <row r="6" spans="1:18" s="125" customFormat="1" ht="15" customHeight="1" x14ac:dyDescent="0.25">
      <c r="A6" s="209" t="s">
        <v>6</v>
      </c>
      <c r="B6" s="126">
        <f>SUM(B7:B8)</f>
        <v>41</v>
      </c>
      <c r="C6" s="149">
        <f t="shared" ref="C6:P6" si="0">SUM(C7:C8)</f>
        <v>19</v>
      </c>
      <c r="D6" s="149">
        <f t="shared" si="0"/>
        <v>1.8165595000000001</v>
      </c>
      <c r="E6" s="149">
        <f t="shared" si="0"/>
        <v>79</v>
      </c>
      <c r="F6" s="149">
        <f t="shared" si="0"/>
        <v>5.8336366399999999</v>
      </c>
      <c r="G6" s="149">
        <f t="shared" si="0"/>
        <v>0</v>
      </c>
      <c r="H6" s="149">
        <f t="shared" si="0"/>
        <v>0</v>
      </c>
      <c r="I6" s="149">
        <f t="shared" si="0"/>
        <v>0</v>
      </c>
      <c r="J6" s="149">
        <f t="shared" si="0"/>
        <v>0</v>
      </c>
      <c r="K6" s="149">
        <f t="shared" si="0"/>
        <v>0</v>
      </c>
      <c r="L6" s="149">
        <f t="shared" si="0"/>
        <v>0</v>
      </c>
      <c r="M6" s="149">
        <f t="shared" si="0"/>
        <v>0</v>
      </c>
      <c r="N6" s="149">
        <f t="shared" si="0"/>
        <v>0</v>
      </c>
      <c r="O6" s="149">
        <f t="shared" si="0"/>
        <v>98</v>
      </c>
      <c r="P6" s="149">
        <f t="shared" si="0"/>
        <v>7.6501961400000003</v>
      </c>
      <c r="Q6" s="149">
        <f>Q8</f>
        <v>7</v>
      </c>
      <c r="R6" s="149">
        <f>R8</f>
        <v>0.61333919000000003</v>
      </c>
    </row>
    <row r="7" spans="1:18" s="125" customFormat="1" ht="15" customHeight="1" x14ac:dyDescent="0.25">
      <c r="A7" s="157" t="s">
        <v>70</v>
      </c>
      <c r="B7" s="126">
        <v>19</v>
      </c>
      <c r="C7" s="149">
        <v>7</v>
      </c>
      <c r="D7" s="149">
        <v>0.68431137500000006</v>
      </c>
      <c r="E7" s="149">
        <v>51</v>
      </c>
      <c r="F7" s="149">
        <v>3.5252401999999998</v>
      </c>
      <c r="G7" s="149">
        <v>0</v>
      </c>
      <c r="H7" s="149">
        <v>0</v>
      </c>
      <c r="I7" s="149">
        <v>0</v>
      </c>
      <c r="J7" s="149">
        <v>0</v>
      </c>
      <c r="K7" s="149">
        <v>0</v>
      </c>
      <c r="L7" s="149">
        <v>0</v>
      </c>
      <c r="M7" s="149">
        <v>0</v>
      </c>
      <c r="N7" s="149">
        <v>0</v>
      </c>
      <c r="O7" s="149">
        <v>58</v>
      </c>
      <c r="P7" s="149">
        <v>4.2095515749999999</v>
      </c>
      <c r="Q7" s="149">
        <v>6</v>
      </c>
      <c r="R7" s="149">
        <v>0.47</v>
      </c>
    </row>
    <row r="8" spans="1:18" s="125" customFormat="1" ht="15" customHeight="1" x14ac:dyDescent="0.25">
      <c r="A8" s="210">
        <v>43586</v>
      </c>
      <c r="B8" s="126">
        <v>22</v>
      </c>
      <c r="C8" s="149">
        <v>12</v>
      </c>
      <c r="D8" s="149">
        <v>1.132248125</v>
      </c>
      <c r="E8" s="149">
        <v>28</v>
      </c>
      <c r="F8" s="149">
        <v>2.3083964400000001</v>
      </c>
      <c r="G8" s="149">
        <v>0</v>
      </c>
      <c r="H8" s="149">
        <v>0</v>
      </c>
      <c r="I8" s="149">
        <v>0</v>
      </c>
      <c r="J8" s="149">
        <v>0</v>
      </c>
      <c r="K8" s="149">
        <v>0</v>
      </c>
      <c r="L8" s="149">
        <v>0</v>
      </c>
      <c r="M8" s="149">
        <v>0</v>
      </c>
      <c r="N8" s="149">
        <v>0</v>
      </c>
      <c r="O8" s="149">
        <v>40</v>
      </c>
      <c r="P8" s="149">
        <v>3.4406445649999999</v>
      </c>
      <c r="Q8" s="149">
        <v>7</v>
      </c>
      <c r="R8" s="149">
        <v>0.61333919000000003</v>
      </c>
    </row>
    <row r="9" spans="1:18" s="125" customFormat="1" ht="14.25" customHeight="1" x14ac:dyDescent="0.2">
      <c r="A9" s="575" t="s">
        <v>377</v>
      </c>
      <c r="B9" s="575"/>
      <c r="C9" s="575"/>
      <c r="D9" s="575"/>
      <c r="E9" s="575"/>
      <c r="F9" s="575"/>
      <c r="G9" s="575"/>
      <c r="H9" s="575"/>
      <c r="I9" s="575"/>
      <c r="J9" s="575"/>
    </row>
    <row r="10" spans="1:18" s="125" customFormat="1" ht="13.5" customHeight="1" x14ac:dyDescent="0.2">
      <c r="A10" s="575" t="s">
        <v>846</v>
      </c>
      <c r="B10" s="575"/>
      <c r="C10" s="575"/>
      <c r="D10" s="575"/>
      <c r="E10" s="575"/>
      <c r="F10" s="575"/>
      <c r="G10" s="575"/>
      <c r="H10" s="575"/>
      <c r="I10" s="575"/>
      <c r="J10" s="575"/>
    </row>
    <row r="11" spans="1:18" s="125" customFormat="1" ht="13.5" customHeight="1" x14ac:dyDescent="0.2">
      <c r="A11" s="575" t="s">
        <v>225</v>
      </c>
      <c r="B11" s="575"/>
      <c r="C11" s="575"/>
      <c r="D11" s="575"/>
      <c r="E11" s="575"/>
      <c r="F11" s="575"/>
      <c r="G11" s="575"/>
      <c r="H11" s="575"/>
      <c r="I11" s="575"/>
      <c r="J11" s="575"/>
    </row>
    <row r="12" spans="1:18" s="125" customFormat="1" ht="28.35" customHeight="1" x14ac:dyDescent="0.2"/>
  </sheetData>
  <mergeCells count="16">
    <mergeCell ref="A11:J11"/>
    <mergeCell ref="A1:R1"/>
    <mergeCell ref="A2:A4"/>
    <mergeCell ref="B2:B4"/>
    <mergeCell ref="C2:D3"/>
    <mergeCell ref="E2:F3"/>
    <mergeCell ref="G2:J2"/>
    <mergeCell ref="K2:N2"/>
    <mergeCell ref="O2:P3"/>
    <mergeCell ref="Q2:R3"/>
    <mergeCell ref="G3:H3"/>
    <mergeCell ref="I3:J3"/>
    <mergeCell ref="K3:L3"/>
    <mergeCell ref="M3:N3"/>
    <mergeCell ref="A9:J9"/>
    <mergeCell ref="A10:J10"/>
  </mergeCells>
  <pageMargins left="0.78431372549019618" right="0.78431372549019618" top="0.98039215686274517" bottom="0.98039215686274517" header="0.50980392156862753" footer="0.50980392156862753"/>
  <pageSetup paperSize="9" scale="74" orientation="landscape" useFirstPageNumber="1"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zoomScaleNormal="100" workbookViewId="0">
      <selection activeCell="B7" sqref="B7:B8"/>
    </sheetView>
  </sheetViews>
  <sheetFormatPr defaultRowHeight="15" x14ac:dyDescent="0.25"/>
  <cols>
    <col min="1" max="1" width="12.140625" style="123" bestFit="1" customWidth="1"/>
    <col min="2" max="2" width="9.140625" style="123" bestFit="1" customWidth="1"/>
    <col min="3" max="18" width="13.5703125" style="123" bestFit="1" customWidth="1"/>
    <col min="19" max="19" width="5" style="123" bestFit="1" customWidth="1"/>
    <col min="20" max="16384" width="9.140625" style="123"/>
  </cols>
  <sheetData>
    <row r="1" spans="1:18" ht="18" customHeight="1" x14ac:dyDescent="0.25">
      <c r="A1" s="574" t="str">
        <f>'Data Summary'!$A$38</f>
        <v>Table 36:  Trends in Equity Derivatives Segment at NSE</v>
      </c>
      <c r="B1" s="574"/>
      <c r="C1" s="574"/>
      <c r="D1" s="574"/>
      <c r="E1" s="574"/>
      <c r="F1" s="574"/>
      <c r="G1" s="574"/>
      <c r="H1" s="574"/>
      <c r="I1" s="574"/>
      <c r="J1" s="574"/>
      <c r="K1" s="574"/>
      <c r="L1" s="574"/>
      <c r="M1" s="574"/>
      <c r="N1" s="574"/>
    </row>
    <row r="2" spans="1:18" s="122" customFormat="1" ht="25.5" customHeight="1" x14ac:dyDescent="0.2">
      <c r="A2" s="591" t="s">
        <v>366</v>
      </c>
      <c r="B2" s="591" t="s">
        <v>153</v>
      </c>
      <c r="C2" s="614" t="s">
        <v>367</v>
      </c>
      <c r="D2" s="615"/>
      <c r="E2" s="614" t="s">
        <v>368</v>
      </c>
      <c r="F2" s="615"/>
      <c r="G2" s="618" t="s">
        <v>369</v>
      </c>
      <c r="H2" s="619"/>
      <c r="I2" s="619"/>
      <c r="J2" s="620"/>
      <c r="K2" s="618" t="s">
        <v>370</v>
      </c>
      <c r="L2" s="619"/>
      <c r="M2" s="619"/>
      <c r="N2" s="620"/>
      <c r="O2" s="614" t="s">
        <v>64</v>
      </c>
      <c r="P2" s="615"/>
      <c r="Q2" s="650" t="s">
        <v>371</v>
      </c>
      <c r="R2" s="651"/>
    </row>
    <row r="3" spans="1:18" s="122" customFormat="1" ht="13.5" customHeight="1" x14ac:dyDescent="0.2">
      <c r="A3" s="613"/>
      <c r="B3" s="613"/>
      <c r="C3" s="616"/>
      <c r="D3" s="617"/>
      <c r="E3" s="616"/>
      <c r="F3" s="617"/>
      <c r="G3" s="618" t="s">
        <v>372</v>
      </c>
      <c r="H3" s="620"/>
      <c r="I3" s="618" t="s">
        <v>373</v>
      </c>
      <c r="J3" s="620"/>
      <c r="K3" s="618" t="s">
        <v>372</v>
      </c>
      <c r="L3" s="620"/>
      <c r="M3" s="618" t="s">
        <v>373</v>
      </c>
      <c r="N3" s="620"/>
      <c r="O3" s="616"/>
      <c r="P3" s="617"/>
      <c r="Q3" s="652"/>
      <c r="R3" s="653"/>
    </row>
    <row r="4" spans="1:18" s="122" customFormat="1" ht="27" customHeight="1" x14ac:dyDescent="0.2">
      <c r="A4" s="592"/>
      <c r="B4" s="592"/>
      <c r="C4" s="304" t="s">
        <v>374</v>
      </c>
      <c r="D4" s="473" t="s">
        <v>375</v>
      </c>
      <c r="E4" s="304" t="s">
        <v>374</v>
      </c>
      <c r="F4" s="473" t="s">
        <v>375</v>
      </c>
      <c r="G4" s="304" t="s">
        <v>374</v>
      </c>
      <c r="H4" s="473" t="s">
        <v>375</v>
      </c>
      <c r="I4" s="304" t="s">
        <v>374</v>
      </c>
      <c r="J4" s="473" t="s">
        <v>375</v>
      </c>
      <c r="K4" s="304" t="s">
        <v>374</v>
      </c>
      <c r="L4" s="473" t="s">
        <v>375</v>
      </c>
      <c r="M4" s="304" t="s">
        <v>374</v>
      </c>
      <c r="N4" s="473" t="s">
        <v>375</v>
      </c>
      <c r="O4" s="304" t="s">
        <v>374</v>
      </c>
      <c r="P4" s="473" t="s">
        <v>375</v>
      </c>
      <c r="Q4" s="304" t="s">
        <v>374</v>
      </c>
      <c r="R4" s="473" t="s">
        <v>375</v>
      </c>
    </row>
    <row r="5" spans="1:18" s="122" customFormat="1" ht="15" customHeight="1" x14ac:dyDescent="0.25">
      <c r="A5" s="209" t="s">
        <v>5</v>
      </c>
      <c r="B5" s="126">
        <v>248</v>
      </c>
      <c r="C5" s="163">
        <v>69824522</v>
      </c>
      <c r="D5" s="159">
        <v>5568914.4199999999</v>
      </c>
      <c r="E5" s="163">
        <v>255533869</v>
      </c>
      <c r="F5" s="163">
        <v>16147010.83</v>
      </c>
      <c r="G5" s="305">
        <v>1391027617</v>
      </c>
      <c r="H5" s="163">
        <v>107726326.8</v>
      </c>
      <c r="I5" s="305">
        <v>1261429870</v>
      </c>
      <c r="J5" s="163">
        <v>95576078.140000001</v>
      </c>
      <c r="K5" s="163">
        <v>123510308</v>
      </c>
      <c r="L5" s="159">
        <v>8517920.4590000007</v>
      </c>
      <c r="M5" s="163">
        <v>63476234</v>
      </c>
      <c r="N5" s="159">
        <v>4064454.3810000001</v>
      </c>
      <c r="O5" s="305">
        <v>3164802420</v>
      </c>
      <c r="P5" s="163">
        <v>237600705</v>
      </c>
      <c r="Q5" s="159">
        <v>4038916</v>
      </c>
      <c r="R5" s="159">
        <v>286402.84869999997</v>
      </c>
    </row>
    <row r="6" spans="1:18" s="122" customFormat="1" ht="15" customHeight="1" x14ac:dyDescent="0.25">
      <c r="A6" s="209" t="s">
        <v>6</v>
      </c>
      <c r="B6" s="126">
        <f>SUM(B7:B8)</f>
        <v>41</v>
      </c>
      <c r="C6" s="163">
        <f t="shared" ref="C6:P6" si="0">SUM(C7:C8)</f>
        <v>13416770</v>
      </c>
      <c r="D6" s="159">
        <f t="shared" si="0"/>
        <v>994372.84071099991</v>
      </c>
      <c r="E6" s="163">
        <f t="shared" si="0"/>
        <v>42479474</v>
      </c>
      <c r="F6" s="159">
        <f t="shared" si="0"/>
        <v>2529679.5416230103</v>
      </c>
      <c r="G6" s="163">
        <f t="shared" si="0"/>
        <v>339865229</v>
      </c>
      <c r="H6" s="163">
        <f t="shared" si="0"/>
        <v>23289991.886200398</v>
      </c>
      <c r="I6" s="163">
        <f t="shared" si="0"/>
        <v>288512853</v>
      </c>
      <c r="J6" s="163">
        <f t="shared" si="0"/>
        <v>19370156.7738721</v>
      </c>
      <c r="K6" s="163">
        <f t="shared" si="0"/>
        <v>19984643</v>
      </c>
      <c r="L6" s="159">
        <f t="shared" si="0"/>
        <v>1284935.7149125601</v>
      </c>
      <c r="M6" s="163">
        <f t="shared" si="0"/>
        <v>10612784</v>
      </c>
      <c r="N6" s="159">
        <f t="shared" si="0"/>
        <v>632606.36784023</v>
      </c>
      <c r="O6" s="163">
        <f t="shared" si="0"/>
        <v>714871753</v>
      </c>
      <c r="P6" s="163">
        <f t="shared" si="0"/>
        <v>48101743.125159398</v>
      </c>
      <c r="Q6" s="159">
        <f>Q8</f>
        <v>4000089</v>
      </c>
      <c r="R6" s="159">
        <f>R8</f>
        <v>278172.34375495499</v>
      </c>
    </row>
    <row r="7" spans="1:18" s="122" customFormat="1" ht="15" customHeight="1" x14ac:dyDescent="0.25">
      <c r="A7" s="157" t="s">
        <v>70</v>
      </c>
      <c r="B7" s="126">
        <v>19</v>
      </c>
      <c r="C7" s="159">
        <v>5521413</v>
      </c>
      <c r="D7" s="159">
        <v>406219.34</v>
      </c>
      <c r="E7" s="163">
        <v>18819091</v>
      </c>
      <c r="F7" s="159">
        <v>1159128.22</v>
      </c>
      <c r="G7" s="163">
        <v>161093858</v>
      </c>
      <c r="H7" s="163">
        <v>10860275.73</v>
      </c>
      <c r="I7" s="163">
        <v>137719004</v>
      </c>
      <c r="J7" s="159">
        <v>9170370.4100000001</v>
      </c>
      <c r="K7" s="159">
        <v>9936612</v>
      </c>
      <c r="L7" s="159">
        <v>651294.77</v>
      </c>
      <c r="M7" s="159">
        <v>5037643</v>
      </c>
      <c r="N7" s="159">
        <v>307998.01</v>
      </c>
      <c r="O7" s="163">
        <v>338127621</v>
      </c>
      <c r="P7" s="163">
        <v>22555286.48</v>
      </c>
      <c r="Q7" s="159">
        <v>4397035</v>
      </c>
      <c r="R7" s="159">
        <v>300027.62</v>
      </c>
    </row>
    <row r="8" spans="1:18" s="144" customFormat="1" x14ac:dyDescent="0.25">
      <c r="A8" s="210">
        <v>43586</v>
      </c>
      <c r="B8" s="126">
        <v>22</v>
      </c>
      <c r="C8" s="159">
        <v>7895357</v>
      </c>
      <c r="D8" s="159">
        <v>588153.50071099994</v>
      </c>
      <c r="E8" s="163">
        <v>23660383</v>
      </c>
      <c r="F8" s="159">
        <v>1370551.3216230101</v>
      </c>
      <c r="G8" s="163">
        <v>178771371</v>
      </c>
      <c r="H8" s="163">
        <v>12429716.1562004</v>
      </c>
      <c r="I8" s="163">
        <v>150793849</v>
      </c>
      <c r="J8" s="163">
        <v>10199786.3638721</v>
      </c>
      <c r="K8" s="163">
        <v>10048031</v>
      </c>
      <c r="L8" s="159">
        <v>633640.94491256005</v>
      </c>
      <c r="M8" s="159">
        <v>5575141</v>
      </c>
      <c r="N8" s="159">
        <v>324608.35784022999</v>
      </c>
      <c r="O8" s="163">
        <v>376744132</v>
      </c>
      <c r="P8" s="163">
        <v>25546456.645159401</v>
      </c>
      <c r="Q8" s="159">
        <v>4000089</v>
      </c>
      <c r="R8" s="159">
        <v>278172.34375495499</v>
      </c>
    </row>
    <row r="9" spans="1:18" s="125" customFormat="1" ht="14.25" customHeight="1" x14ac:dyDescent="0.2">
      <c r="A9" s="575" t="s">
        <v>377</v>
      </c>
      <c r="B9" s="575"/>
      <c r="C9" s="575"/>
      <c r="D9" s="575"/>
      <c r="E9" s="575"/>
      <c r="F9" s="575"/>
      <c r="G9" s="575"/>
      <c r="H9" s="575"/>
      <c r="I9" s="575"/>
      <c r="J9" s="575"/>
      <c r="K9" s="575"/>
      <c r="L9" s="575"/>
      <c r="M9" s="575"/>
      <c r="N9" s="575"/>
      <c r="O9" s="575"/>
      <c r="P9" s="575"/>
      <c r="Q9" s="575"/>
      <c r="R9" s="575"/>
    </row>
    <row r="10" spans="1:18" s="125" customFormat="1" ht="13.5" customHeight="1" x14ac:dyDescent="0.2">
      <c r="A10" s="575" t="s">
        <v>846</v>
      </c>
      <c r="B10" s="575"/>
      <c r="C10" s="575"/>
      <c r="D10" s="575"/>
      <c r="E10" s="575"/>
      <c r="F10" s="575"/>
      <c r="G10" s="575"/>
      <c r="H10" s="575"/>
      <c r="I10" s="575"/>
      <c r="J10" s="575"/>
      <c r="K10" s="575"/>
      <c r="L10" s="575"/>
      <c r="M10" s="575"/>
      <c r="N10" s="575"/>
      <c r="O10" s="575"/>
      <c r="P10" s="575"/>
      <c r="Q10" s="575"/>
      <c r="R10" s="575"/>
    </row>
    <row r="11" spans="1:18" s="125" customFormat="1" ht="13.5" customHeight="1" x14ac:dyDescent="0.2">
      <c r="A11" s="575" t="s">
        <v>276</v>
      </c>
      <c r="B11" s="575"/>
      <c r="C11" s="575"/>
      <c r="D11" s="575"/>
      <c r="E11" s="575"/>
      <c r="F11" s="575"/>
      <c r="G11" s="575"/>
      <c r="H11" s="575"/>
      <c r="I11" s="575"/>
      <c r="J11" s="575"/>
      <c r="K11" s="575"/>
      <c r="L11" s="575"/>
      <c r="M11" s="575"/>
      <c r="N11" s="575"/>
      <c r="O11" s="575"/>
      <c r="P11" s="575"/>
      <c r="Q11" s="575"/>
      <c r="R11" s="575"/>
    </row>
    <row r="12" spans="1:18" s="125" customFormat="1" ht="28.35" customHeight="1" x14ac:dyDescent="0.2"/>
  </sheetData>
  <mergeCells count="16">
    <mergeCell ref="A1:N1"/>
    <mergeCell ref="A2:A4"/>
    <mergeCell ref="B2:B4"/>
    <mergeCell ref="C2:D3"/>
    <mergeCell ref="E2:F3"/>
    <mergeCell ref="G2:J2"/>
    <mergeCell ref="K2:N2"/>
    <mergeCell ref="A9:R9"/>
    <mergeCell ref="A10:R10"/>
    <mergeCell ref="A11:R11"/>
    <mergeCell ref="O2:P3"/>
    <mergeCell ref="Q2:R3"/>
    <mergeCell ref="G3:H3"/>
    <mergeCell ref="I3:J3"/>
    <mergeCell ref="K3:L3"/>
    <mergeCell ref="M3:N3"/>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zoomScaleNormal="100" workbookViewId="0">
      <selection activeCell="J9" sqref="J9:J10"/>
    </sheetView>
  </sheetViews>
  <sheetFormatPr defaultRowHeight="15" x14ac:dyDescent="0.25"/>
  <cols>
    <col min="1" max="1" width="8.140625" style="123" customWidth="1"/>
    <col min="2" max="5" width="10.7109375" style="123" bestFit="1" customWidth="1"/>
    <col min="6" max="6" width="7" style="123" customWidth="1"/>
    <col min="7" max="7" width="11.28515625" style="123" bestFit="1" customWidth="1"/>
    <col min="8" max="11" width="10.7109375" style="123" bestFit="1" customWidth="1"/>
    <col min="12" max="12" width="8.28515625" style="123" customWidth="1"/>
    <col min="13" max="13" width="10.85546875" style="123" bestFit="1" customWidth="1"/>
    <col min="14" max="14" width="4.7109375" style="123" bestFit="1" customWidth="1"/>
    <col min="15" max="16384" width="9.140625" style="123"/>
  </cols>
  <sheetData>
    <row r="1" spans="1:13" ht="17.25" customHeight="1" x14ac:dyDescent="0.25">
      <c r="A1" s="612" t="str">
        <f>'Data Summary'!$A$39</f>
        <v xml:space="preserve">Table 37:  Settlement Statistics in Equity Derivatives Segment at BSE and NSE </v>
      </c>
      <c r="B1" s="612"/>
      <c r="C1" s="612"/>
      <c r="D1" s="612"/>
      <c r="E1" s="612"/>
      <c r="F1" s="612"/>
      <c r="G1" s="612"/>
      <c r="H1" s="612"/>
      <c r="I1" s="612"/>
      <c r="J1" s="612"/>
      <c r="K1" s="612"/>
      <c r="L1" s="612"/>
      <c r="M1" s="612"/>
    </row>
    <row r="2" spans="1:13" ht="17.25" customHeight="1" x14ac:dyDescent="0.25">
      <c r="A2" s="642" t="s">
        <v>977</v>
      </c>
      <c r="B2" s="642"/>
      <c r="C2" s="642"/>
      <c r="D2" s="642"/>
      <c r="E2" s="642"/>
      <c r="F2" s="642"/>
      <c r="G2" s="642"/>
      <c r="H2" s="642"/>
      <c r="I2" s="642"/>
      <c r="J2" s="642"/>
      <c r="K2" s="642"/>
      <c r="L2" s="642"/>
      <c r="M2" s="642"/>
    </row>
    <row r="3" spans="1:13" s="122" customFormat="1" ht="17.25" customHeight="1" x14ac:dyDescent="0.2">
      <c r="A3" s="591" t="s">
        <v>366</v>
      </c>
      <c r="B3" s="618" t="s">
        <v>129</v>
      </c>
      <c r="C3" s="619"/>
      <c r="D3" s="619"/>
      <c r="E3" s="619"/>
      <c r="F3" s="619"/>
      <c r="G3" s="620"/>
      <c r="H3" s="618" t="s">
        <v>130</v>
      </c>
      <c r="I3" s="619"/>
      <c r="J3" s="619"/>
      <c r="K3" s="619"/>
      <c r="L3" s="619"/>
      <c r="M3" s="620"/>
    </row>
    <row r="4" spans="1:13" s="122" customFormat="1" ht="27" customHeight="1" x14ac:dyDescent="0.2">
      <c r="A4" s="613"/>
      <c r="B4" s="589" t="s">
        <v>378</v>
      </c>
      <c r="C4" s="590"/>
      <c r="D4" s="589" t="s">
        <v>379</v>
      </c>
      <c r="E4" s="590"/>
      <c r="F4" s="581" t="s">
        <v>64</v>
      </c>
      <c r="G4" s="654" t="s">
        <v>380</v>
      </c>
      <c r="H4" s="589" t="s">
        <v>378</v>
      </c>
      <c r="I4" s="590"/>
      <c r="J4" s="589" t="s">
        <v>379</v>
      </c>
      <c r="K4" s="590"/>
      <c r="L4" s="581" t="s">
        <v>64</v>
      </c>
      <c r="M4" s="654" t="s">
        <v>380</v>
      </c>
    </row>
    <row r="5" spans="1:13" s="122" customFormat="1" ht="27" customHeight="1" x14ac:dyDescent="0.2">
      <c r="A5" s="592"/>
      <c r="B5" s="304" t="s">
        <v>381</v>
      </c>
      <c r="C5" s="304" t="s">
        <v>382</v>
      </c>
      <c r="D5" s="304" t="s">
        <v>383</v>
      </c>
      <c r="E5" s="304" t="s">
        <v>384</v>
      </c>
      <c r="F5" s="583"/>
      <c r="G5" s="655"/>
      <c r="H5" s="304" t="s">
        <v>381</v>
      </c>
      <c r="I5" s="304" t="s">
        <v>382</v>
      </c>
      <c r="J5" s="304" t="s">
        <v>383</v>
      </c>
      <c r="K5" s="304" t="s">
        <v>384</v>
      </c>
      <c r="L5" s="583"/>
      <c r="M5" s="655"/>
    </row>
    <row r="6" spans="1:13" s="122" customFormat="1" ht="18" customHeight="1" x14ac:dyDescent="0.25">
      <c r="A6" s="209" t="s">
        <v>5</v>
      </c>
      <c r="B6" s="149">
        <v>0.98</v>
      </c>
      <c r="C6" s="149">
        <v>0.08</v>
      </c>
      <c r="D6" s="149">
        <v>8.67</v>
      </c>
      <c r="E6" s="149">
        <v>0.05</v>
      </c>
      <c r="F6" s="149">
        <v>9.7799999999999994</v>
      </c>
      <c r="G6" s="149">
        <v>19.43</v>
      </c>
      <c r="H6" s="159">
        <v>136640.06</v>
      </c>
      <c r="I6" s="149">
        <v>2754.22</v>
      </c>
      <c r="J6" s="149">
        <v>19252.849999999999</v>
      </c>
      <c r="K6" s="149">
        <v>2534.91</v>
      </c>
      <c r="L6" s="159">
        <v>161182.04</v>
      </c>
      <c r="M6" s="149">
        <v>1911.63</v>
      </c>
    </row>
    <row r="7" spans="1:13" s="122" customFormat="1" ht="18" customHeight="1" x14ac:dyDescent="0.25">
      <c r="A7" s="209" t="s">
        <v>6</v>
      </c>
      <c r="B7" s="149">
        <v>0.3</v>
      </c>
      <c r="C7" s="149">
        <v>0.03</v>
      </c>
      <c r="D7" s="149">
        <v>0</v>
      </c>
      <c r="E7" s="149">
        <v>0</v>
      </c>
      <c r="F7" s="149">
        <v>0.33</v>
      </c>
      <c r="G7" s="149">
        <v>19.54</v>
      </c>
      <c r="H7" s="149">
        <v>20140.7</v>
      </c>
      <c r="I7" s="149">
        <v>261.28999999999996</v>
      </c>
      <c r="J7" s="149">
        <v>3621</v>
      </c>
      <c r="K7" s="149">
        <v>203.14</v>
      </c>
      <c r="L7" s="149">
        <v>24226.13</v>
      </c>
      <c r="M7" s="149">
        <v>1954.89</v>
      </c>
    </row>
    <row r="8" spans="1:13" s="122" customFormat="1" ht="18" customHeight="1" x14ac:dyDescent="0.25">
      <c r="A8" s="157" t="s">
        <v>70</v>
      </c>
      <c r="B8" s="149">
        <v>0.15</v>
      </c>
      <c r="C8" s="149">
        <v>0.02</v>
      </c>
      <c r="D8" s="149">
        <v>0</v>
      </c>
      <c r="E8" s="149">
        <v>0</v>
      </c>
      <c r="F8" s="149">
        <v>0.17</v>
      </c>
      <c r="G8" s="149">
        <v>19.54</v>
      </c>
      <c r="H8" s="149">
        <v>7864.19</v>
      </c>
      <c r="I8" s="149">
        <v>114.9</v>
      </c>
      <c r="J8" s="149">
        <v>1522.91</v>
      </c>
      <c r="K8" s="149">
        <v>93.85</v>
      </c>
      <c r="L8" s="149">
        <v>9595.85</v>
      </c>
      <c r="M8" s="149">
        <v>1936.43</v>
      </c>
    </row>
    <row r="9" spans="1:13" s="122" customFormat="1" ht="18" customHeight="1" x14ac:dyDescent="0.25">
      <c r="A9" s="210">
        <v>43586</v>
      </c>
      <c r="B9" s="149">
        <v>0.15</v>
      </c>
      <c r="C9" s="149">
        <v>0.01</v>
      </c>
      <c r="D9" s="149">
        <v>0</v>
      </c>
      <c r="E9" s="149">
        <v>0</v>
      </c>
      <c r="F9" s="149">
        <v>0.16</v>
      </c>
      <c r="G9" s="149">
        <v>19.66</v>
      </c>
      <c r="H9" s="149">
        <v>12276.51</v>
      </c>
      <c r="I9" s="149">
        <v>146.38999999999999</v>
      </c>
      <c r="J9" s="149">
        <v>2098.09</v>
      </c>
      <c r="K9" s="149">
        <v>109.29</v>
      </c>
      <c r="L9" s="149">
        <v>14630.28</v>
      </c>
      <c r="M9" s="149">
        <v>1954.89</v>
      </c>
    </row>
    <row r="10" spans="1:13" s="189" customFormat="1" ht="14.25" customHeight="1" x14ac:dyDescent="0.2">
      <c r="A10" s="575" t="s">
        <v>846</v>
      </c>
      <c r="B10" s="575"/>
      <c r="C10" s="575"/>
      <c r="D10" s="575"/>
    </row>
    <row r="11" spans="1:13" s="189" customFormat="1" ht="12.75" customHeight="1" x14ac:dyDescent="0.2">
      <c r="A11" s="575" t="s">
        <v>128</v>
      </c>
      <c r="B11" s="575"/>
      <c r="C11" s="575"/>
      <c r="D11" s="575"/>
    </row>
    <row r="12" spans="1:13" s="125" customFormat="1" ht="26.1" customHeight="1" x14ac:dyDescent="0.2"/>
  </sheetData>
  <mergeCells count="15">
    <mergeCell ref="L4:L5"/>
    <mergeCell ref="M4:M5"/>
    <mergeCell ref="A10:D10"/>
    <mergeCell ref="A11:D11"/>
    <mergeCell ref="A1:M1"/>
    <mergeCell ref="A3:A5"/>
    <mergeCell ref="B3:G3"/>
    <mergeCell ref="H3:M3"/>
    <mergeCell ref="B4:C4"/>
    <mergeCell ref="D4:E4"/>
    <mergeCell ref="F4:F5"/>
    <mergeCell ref="G4:G5"/>
    <mergeCell ref="H4:I4"/>
    <mergeCell ref="J4:K4"/>
    <mergeCell ref="A2:M2"/>
  </mergeCell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zoomScaleNormal="100" workbookViewId="0">
      <selection activeCell="A9" sqref="A9:K9"/>
    </sheetView>
  </sheetViews>
  <sheetFormatPr defaultRowHeight="15" x14ac:dyDescent="0.25"/>
  <cols>
    <col min="1" max="1" width="9.85546875" style="123" customWidth="1"/>
    <col min="2" max="2" width="10.5703125" style="123" customWidth="1"/>
    <col min="3" max="3" width="7" style="123" customWidth="1"/>
    <col min="4" max="4" width="9.85546875" style="123" customWidth="1"/>
    <col min="5" max="5" width="8.7109375" style="123" customWidth="1"/>
    <col min="6" max="6" width="8.5703125" style="123" customWidth="1"/>
    <col min="7" max="7" width="7.85546875" style="123" customWidth="1"/>
    <col min="8" max="8" width="8" style="123" customWidth="1"/>
    <col min="9" max="9" width="8.7109375" style="123" customWidth="1"/>
    <col min="10" max="10" width="7.5703125" style="123" customWidth="1"/>
    <col min="11" max="11" width="8.42578125" style="123" customWidth="1"/>
    <col min="12" max="12" width="4.7109375" style="123" bestFit="1" customWidth="1"/>
    <col min="13" max="16384" width="9.140625" style="123"/>
  </cols>
  <sheetData>
    <row r="1" spans="1:11" ht="15" customHeight="1" x14ac:dyDescent="0.25">
      <c r="A1" s="612" t="str">
        <f>'Data Summary'!$A$40</f>
        <v>Table 38:  Category-wise Share of Turnover &amp; Open Interest in Equity Derivative Segment of BSE</v>
      </c>
      <c r="B1" s="612"/>
      <c r="C1" s="612"/>
      <c r="D1" s="612"/>
      <c r="E1" s="612"/>
      <c r="F1" s="612"/>
      <c r="G1" s="612"/>
      <c r="H1" s="612"/>
      <c r="I1" s="612"/>
      <c r="J1" s="612"/>
      <c r="K1" s="612"/>
    </row>
    <row r="2" spans="1:11" s="122" customFormat="1" ht="12.75" customHeight="1" x14ac:dyDescent="0.2">
      <c r="A2" s="591" t="s">
        <v>82</v>
      </c>
      <c r="B2" s="618" t="s">
        <v>202</v>
      </c>
      <c r="C2" s="619"/>
      <c r="D2" s="619"/>
      <c r="E2" s="619"/>
      <c r="F2" s="620"/>
      <c r="G2" s="618" t="s">
        <v>385</v>
      </c>
      <c r="H2" s="619"/>
      <c r="I2" s="619"/>
      <c r="J2" s="619"/>
      <c r="K2" s="620"/>
    </row>
    <row r="3" spans="1:11" s="122" customFormat="1" ht="36.75" customHeight="1" x14ac:dyDescent="0.2">
      <c r="A3" s="592"/>
      <c r="B3" s="152" t="s">
        <v>386</v>
      </c>
      <c r="C3" s="152" t="s">
        <v>387</v>
      </c>
      <c r="D3" s="124" t="s">
        <v>33</v>
      </c>
      <c r="E3" s="152" t="s">
        <v>205</v>
      </c>
      <c r="F3" s="152" t="s">
        <v>199</v>
      </c>
      <c r="G3" s="152" t="s">
        <v>386</v>
      </c>
      <c r="H3" s="152" t="s">
        <v>387</v>
      </c>
      <c r="I3" s="124" t="s">
        <v>33</v>
      </c>
      <c r="J3" s="152" t="s">
        <v>205</v>
      </c>
      <c r="K3" s="152" t="s">
        <v>199</v>
      </c>
    </row>
    <row r="4" spans="1:11" s="122" customFormat="1" ht="18" customHeight="1" x14ac:dyDescent="0.25">
      <c r="A4" s="209" t="s">
        <v>5</v>
      </c>
      <c r="B4" s="164">
        <v>2</v>
      </c>
      <c r="C4" s="164">
        <v>0</v>
      </c>
      <c r="D4" s="164">
        <v>0</v>
      </c>
      <c r="E4" s="164">
        <v>0</v>
      </c>
      <c r="F4" s="164">
        <v>98</v>
      </c>
      <c r="G4" s="306">
        <v>0</v>
      </c>
      <c r="H4" s="306">
        <v>0</v>
      </c>
      <c r="I4" s="306">
        <v>0</v>
      </c>
      <c r="J4" s="306">
        <v>0</v>
      </c>
      <c r="K4" s="306">
        <v>100</v>
      </c>
    </row>
    <row r="5" spans="1:11" s="122" customFormat="1" ht="18" customHeight="1" x14ac:dyDescent="0.25">
      <c r="A5" s="209" t="s">
        <v>6</v>
      </c>
      <c r="B5" s="164">
        <v>20.69</v>
      </c>
      <c r="C5" s="164">
        <v>0</v>
      </c>
      <c r="D5" s="164">
        <v>0</v>
      </c>
      <c r="E5" s="164">
        <v>0</v>
      </c>
      <c r="F5" s="164">
        <v>79.31</v>
      </c>
      <c r="G5" s="306">
        <v>8.5</v>
      </c>
      <c r="H5" s="306">
        <v>0</v>
      </c>
      <c r="I5" s="306">
        <v>0</v>
      </c>
      <c r="J5" s="306">
        <v>0</v>
      </c>
      <c r="K5" s="164">
        <v>91.5</v>
      </c>
    </row>
    <row r="6" spans="1:11" s="122" customFormat="1" ht="18" customHeight="1" x14ac:dyDescent="0.25">
      <c r="A6" s="157" t="s">
        <v>70</v>
      </c>
      <c r="B6" s="164">
        <v>16.260000000000002</v>
      </c>
      <c r="C6" s="164">
        <v>0</v>
      </c>
      <c r="D6" s="164">
        <v>0</v>
      </c>
      <c r="E6" s="164">
        <v>0</v>
      </c>
      <c r="F6" s="164">
        <v>83.74</v>
      </c>
      <c r="G6" s="306">
        <v>0</v>
      </c>
      <c r="H6" s="306">
        <v>0</v>
      </c>
      <c r="I6" s="306">
        <v>0</v>
      </c>
      <c r="J6" s="306">
        <v>0</v>
      </c>
      <c r="K6" s="306">
        <v>100</v>
      </c>
    </row>
    <row r="7" spans="1:11" s="122" customFormat="1" ht="18" customHeight="1" x14ac:dyDescent="0.25">
      <c r="A7" s="210">
        <v>43586</v>
      </c>
      <c r="B7" s="164">
        <v>25.12</v>
      </c>
      <c r="C7" s="164">
        <v>0</v>
      </c>
      <c r="D7" s="164">
        <v>0</v>
      </c>
      <c r="E7" s="164">
        <v>0</v>
      </c>
      <c r="F7" s="164">
        <v>74.88</v>
      </c>
      <c r="G7" s="306">
        <v>8.5</v>
      </c>
      <c r="H7" s="306">
        <v>0</v>
      </c>
      <c r="I7" s="306">
        <v>0</v>
      </c>
      <c r="J7" s="306">
        <v>0</v>
      </c>
      <c r="K7" s="164">
        <v>91.5</v>
      </c>
    </row>
    <row r="8" spans="1:11" s="125" customFormat="1" ht="15" customHeight="1" x14ac:dyDescent="0.2">
      <c r="A8" s="575" t="s">
        <v>846</v>
      </c>
      <c r="B8" s="575"/>
      <c r="C8" s="575"/>
      <c r="D8" s="575"/>
      <c r="E8" s="575"/>
      <c r="F8" s="575"/>
      <c r="G8" s="575"/>
      <c r="H8" s="575"/>
      <c r="I8" s="575"/>
      <c r="J8" s="575"/>
      <c r="K8" s="575"/>
    </row>
    <row r="9" spans="1:11" s="125" customFormat="1" ht="13.5" customHeight="1" x14ac:dyDescent="0.2">
      <c r="A9" s="575" t="s">
        <v>225</v>
      </c>
      <c r="B9" s="575"/>
      <c r="C9" s="575"/>
      <c r="D9" s="575"/>
      <c r="E9" s="575"/>
      <c r="F9" s="575"/>
      <c r="G9" s="575"/>
      <c r="H9" s="575"/>
      <c r="I9" s="575"/>
      <c r="J9" s="575"/>
      <c r="K9" s="575"/>
    </row>
    <row r="10" spans="1:11" s="125" customFormat="1" ht="27.6" customHeight="1" x14ac:dyDescent="0.2"/>
  </sheetData>
  <mergeCells count="6">
    <mergeCell ref="A9:K9"/>
    <mergeCell ref="A1:K1"/>
    <mergeCell ref="A2:A3"/>
    <mergeCell ref="B2:F2"/>
    <mergeCell ref="G2:K2"/>
    <mergeCell ref="A8:K8"/>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zoomScaleNormal="100" workbookViewId="0">
      <selection activeCell="J4" sqref="J4"/>
    </sheetView>
  </sheetViews>
  <sheetFormatPr defaultRowHeight="15" x14ac:dyDescent="0.25"/>
  <cols>
    <col min="1" max="1" width="4.85546875" style="123" customWidth="1"/>
    <col min="2" max="2" width="24.5703125" style="123" customWidth="1"/>
    <col min="3" max="3" width="20.7109375" style="123" bestFit="1" customWidth="1"/>
    <col min="4" max="4" width="11.140625" style="123" bestFit="1" customWidth="1"/>
    <col min="5" max="5" width="11.7109375" style="123" bestFit="1" customWidth="1"/>
    <col min="6" max="6" width="11.140625" style="123" customWidth="1"/>
    <col min="7" max="7" width="9.7109375" style="123" customWidth="1"/>
    <col min="8" max="8" width="9.28515625" style="123" bestFit="1" customWidth="1"/>
    <col min="9" max="9" width="10" style="123" customWidth="1"/>
    <col min="10" max="10" width="7.28515625" style="123" bestFit="1" customWidth="1"/>
    <col min="11" max="11" width="4.7109375" style="123" bestFit="1" customWidth="1"/>
    <col min="12" max="16384" width="9.140625" style="123"/>
  </cols>
  <sheetData>
    <row r="1" spans="1:10" x14ac:dyDescent="0.25">
      <c r="A1" s="576" t="str">
        <f>'Data Summary'!$A$5</f>
        <v>Table 3:  Open Offers under SEBI Takeover Code during May 2019</v>
      </c>
      <c r="B1" s="576"/>
      <c r="C1" s="576"/>
      <c r="D1" s="576"/>
      <c r="E1" s="576"/>
      <c r="F1" s="576"/>
      <c r="G1" s="576"/>
      <c r="H1" s="576"/>
      <c r="I1" s="576"/>
      <c r="J1" s="576"/>
    </row>
    <row r="2" spans="1:10" s="125" customFormat="1" x14ac:dyDescent="0.2">
      <c r="A2" s="577" t="s">
        <v>928</v>
      </c>
      <c r="B2" s="577" t="s">
        <v>57</v>
      </c>
      <c r="C2" s="577" t="s">
        <v>58</v>
      </c>
      <c r="D2" s="577" t="s">
        <v>929</v>
      </c>
      <c r="E2" s="577" t="s">
        <v>59</v>
      </c>
      <c r="F2" s="577" t="s">
        <v>60</v>
      </c>
      <c r="G2" s="580" t="s">
        <v>930</v>
      </c>
      <c r="H2" s="580"/>
      <c r="I2" s="578" t="s">
        <v>1020</v>
      </c>
      <c r="J2" s="577" t="s">
        <v>1021</v>
      </c>
    </row>
    <row r="3" spans="1:10" s="125" customFormat="1" ht="45" x14ac:dyDescent="0.2">
      <c r="A3" s="577"/>
      <c r="B3" s="577"/>
      <c r="C3" s="577"/>
      <c r="D3" s="577"/>
      <c r="E3" s="577"/>
      <c r="F3" s="577"/>
      <c r="G3" s="136" t="s">
        <v>931</v>
      </c>
      <c r="H3" s="136" t="s">
        <v>932</v>
      </c>
      <c r="I3" s="579"/>
      <c r="J3" s="577"/>
    </row>
    <row r="4" spans="1:10" s="125" customFormat="1" x14ac:dyDescent="0.2">
      <c r="A4" s="137">
        <v>1</v>
      </c>
      <c r="B4" s="138" t="s">
        <v>933</v>
      </c>
      <c r="C4" s="138" t="s">
        <v>934</v>
      </c>
      <c r="D4" s="139">
        <v>43501</v>
      </c>
      <c r="E4" s="139">
        <v>43579</v>
      </c>
      <c r="F4" s="139">
        <v>43594</v>
      </c>
      <c r="G4" s="140">
        <v>383022</v>
      </c>
      <c r="H4" s="141">
        <v>26</v>
      </c>
      <c r="I4" s="141">
        <v>10</v>
      </c>
      <c r="J4" s="142">
        <v>0.38</v>
      </c>
    </row>
    <row r="5" spans="1:10" s="125" customFormat="1" ht="30" x14ac:dyDescent="0.2">
      <c r="A5" s="137">
        <v>2</v>
      </c>
      <c r="B5" s="138" t="s">
        <v>935</v>
      </c>
      <c r="C5" s="138" t="s">
        <v>936</v>
      </c>
      <c r="D5" s="139">
        <v>43529</v>
      </c>
      <c r="E5" s="139">
        <v>43591</v>
      </c>
      <c r="F5" s="139">
        <v>43602</v>
      </c>
      <c r="G5" s="140">
        <v>5412700</v>
      </c>
      <c r="H5" s="141">
        <v>26</v>
      </c>
      <c r="I5" s="143">
        <v>18.5</v>
      </c>
      <c r="J5" s="143">
        <v>10.01</v>
      </c>
    </row>
    <row r="6" spans="1:10" s="125" customFormat="1" ht="30" x14ac:dyDescent="0.2">
      <c r="A6" s="137">
        <v>3</v>
      </c>
      <c r="B6" s="138" t="s">
        <v>937</v>
      </c>
      <c r="C6" s="138" t="s">
        <v>938</v>
      </c>
      <c r="D6" s="139">
        <v>43524</v>
      </c>
      <c r="E6" s="139">
        <v>43592</v>
      </c>
      <c r="F6" s="139">
        <v>43605</v>
      </c>
      <c r="G6" s="140">
        <v>520000</v>
      </c>
      <c r="H6" s="141">
        <v>26</v>
      </c>
      <c r="I6" s="143">
        <v>8.75</v>
      </c>
      <c r="J6" s="142">
        <v>0.46</v>
      </c>
    </row>
    <row r="7" spans="1:10" s="125" customFormat="1" ht="30" x14ac:dyDescent="0.2">
      <c r="A7" s="137">
        <v>4</v>
      </c>
      <c r="B7" s="138" t="s">
        <v>939</v>
      </c>
      <c r="C7" s="138" t="s">
        <v>940</v>
      </c>
      <c r="D7" s="139">
        <v>43481</v>
      </c>
      <c r="E7" s="139">
        <v>43599</v>
      </c>
      <c r="F7" s="139">
        <v>43612</v>
      </c>
      <c r="G7" s="140">
        <v>65436231</v>
      </c>
      <c r="H7" s="141">
        <v>25.06</v>
      </c>
      <c r="I7" s="141">
        <v>36</v>
      </c>
      <c r="J7" s="142">
        <v>235.57</v>
      </c>
    </row>
    <row r="8" spans="1:10" s="125" customFormat="1" ht="30" x14ac:dyDescent="0.2">
      <c r="A8" s="137">
        <v>5</v>
      </c>
      <c r="B8" s="138" t="s">
        <v>941</v>
      </c>
      <c r="C8" s="138" t="s">
        <v>942</v>
      </c>
      <c r="D8" s="139">
        <v>43488</v>
      </c>
      <c r="E8" s="139">
        <v>43600</v>
      </c>
      <c r="F8" s="139">
        <v>43613</v>
      </c>
      <c r="G8" s="140">
        <v>2745600</v>
      </c>
      <c r="H8" s="141">
        <v>26</v>
      </c>
      <c r="I8" s="141">
        <v>10</v>
      </c>
      <c r="J8" s="142">
        <v>2.75</v>
      </c>
    </row>
    <row r="9" spans="1:10" s="125" customFormat="1" x14ac:dyDescent="0.2">
      <c r="A9" s="575" t="s">
        <v>56</v>
      </c>
      <c r="B9" s="575"/>
    </row>
    <row r="10" spans="1:10" s="125" customFormat="1" x14ac:dyDescent="0.2"/>
  </sheetData>
  <mergeCells count="11">
    <mergeCell ref="A9:B9"/>
    <mergeCell ref="A1:J1"/>
    <mergeCell ref="A2:A3"/>
    <mergeCell ref="B2:B3"/>
    <mergeCell ref="C2:C3"/>
    <mergeCell ref="D2:D3"/>
    <mergeCell ref="E2:E3"/>
    <mergeCell ref="I2:I3"/>
    <mergeCell ref="F2:F3"/>
    <mergeCell ref="G2:H2"/>
    <mergeCell ref="J2:J3"/>
  </mergeCells>
  <pageMargins left="0.78431372549019618" right="0.78431372549019618" top="0.98039215686274517" bottom="0.98039215686274517" header="0.50980392156862753" footer="0.50980392156862753"/>
  <pageSetup paperSize="9" orientation="landscape" useFirstPageNumber="1"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10"/>
  <sheetViews>
    <sheetView zoomScaleNormal="100" workbookViewId="0">
      <selection activeCell="H11" sqref="H11"/>
    </sheetView>
  </sheetViews>
  <sheetFormatPr defaultColWidth="8" defaultRowHeight="15" x14ac:dyDescent="0.25"/>
  <cols>
    <col min="1" max="1" width="8" style="123"/>
    <col min="2" max="2" width="9.5703125" style="123" customWidth="1"/>
    <col min="3" max="3" width="9.28515625" style="123" customWidth="1"/>
    <col min="4" max="4" width="8.7109375" style="123" customWidth="1"/>
    <col min="5" max="5" width="9.28515625" style="123" customWidth="1"/>
    <col min="6" max="6" width="8.85546875" style="123" customWidth="1"/>
    <col min="7" max="16384" width="8" style="123"/>
  </cols>
  <sheetData>
    <row r="1" spans="1:104" ht="18" customHeight="1" x14ac:dyDescent="0.25">
      <c r="A1" s="612" t="str">
        <f>'Data Summary'!$A$41</f>
        <v>Table 39:  Category-wise Share of Turnover &amp; Open Interest in Equity Derivative Segment of NSE</v>
      </c>
      <c r="B1" s="612"/>
      <c r="C1" s="612"/>
      <c r="D1" s="612"/>
      <c r="E1" s="612"/>
      <c r="F1" s="612"/>
      <c r="G1" s="612"/>
      <c r="H1" s="612"/>
      <c r="I1" s="612"/>
      <c r="J1" s="612"/>
      <c r="K1" s="612"/>
    </row>
    <row r="2" spans="1:104" s="125" customFormat="1" ht="18" customHeight="1" x14ac:dyDescent="0.25">
      <c r="A2" s="591" t="s">
        <v>124</v>
      </c>
      <c r="B2" s="587" t="s">
        <v>202</v>
      </c>
      <c r="C2" s="631"/>
      <c r="D2" s="631"/>
      <c r="E2" s="631"/>
      <c r="F2" s="588"/>
      <c r="G2" s="587" t="s">
        <v>385</v>
      </c>
      <c r="H2" s="631"/>
      <c r="I2" s="631"/>
      <c r="J2" s="631"/>
      <c r="K2" s="588"/>
    </row>
    <row r="3" spans="1:104" s="125" customFormat="1" ht="29.25" customHeight="1" x14ac:dyDescent="0.25">
      <c r="A3" s="592"/>
      <c r="B3" s="161" t="s">
        <v>386</v>
      </c>
      <c r="C3" s="161" t="s">
        <v>204</v>
      </c>
      <c r="D3" s="153" t="s">
        <v>33</v>
      </c>
      <c r="E3" s="161" t="s">
        <v>205</v>
      </c>
      <c r="F3" s="161" t="s">
        <v>199</v>
      </c>
      <c r="G3" s="161" t="s">
        <v>386</v>
      </c>
      <c r="H3" s="161" t="s">
        <v>204</v>
      </c>
      <c r="I3" s="153" t="s">
        <v>33</v>
      </c>
      <c r="J3" s="161" t="s">
        <v>205</v>
      </c>
      <c r="K3" s="161" t="s">
        <v>199</v>
      </c>
    </row>
    <row r="4" spans="1:104" s="125" customFormat="1" ht="18" customHeight="1" x14ac:dyDescent="0.25">
      <c r="A4" s="209" t="s">
        <v>5</v>
      </c>
      <c r="B4" s="164">
        <v>37.840000000000003</v>
      </c>
      <c r="C4" s="164">
        <v>13.58</v>
      </c>
      <c r="D4" s="164">
        <v>0.42</v>
      </c>
      <c r="E4" s="164">
        <v>0</v>
      </c>
      <c r="F4" s="164">
        <v>48.16</v>
      </c>
      <c r="G4" s="164">
        <v>13.72</v>
      </c>
      <c r="H4" s="164">
        <v>29.83</v>
      </c>
      <c r="I4" s="164">
        <v>13.19</v>
      </c>
      <c r="J4" s="164">
        <v>0</v>
      </c>
      <c r="K4" s="164">
        <v>43.25</v>
      </c>
    </row>
    <row r="5" spans="1:104" s="182" customFormat="1" x14ac:dyDescent="0.25">
      <c r="A5" s="209" t="s">
        <v>6</v>
      </c>
      <c r="B5" s="164">
        <v>32.61</v>
      </c>
      <c r="C5" s="164">
        <v>19.53</v>
      </c>
      <c r="D5" s="164">
        <v>0.32500000000000001</v>
      </c>
      <c r="E5" s="164">
        <v>0</v>
      </c>
      <c r="F5" s="164">
        <v>47.534999999999997</v>
      </c>
      <c r="G5" s="164">
        <v>11.377493782573319</v>
      </c>
      <c r="H5" s="164">
        <v>28.650158950799021</v>
      </c>
      <c r="I5" s="164">
        <v>14.373145540599086</v>
      </c>
      <c r="J5" s="164">
        <v>0</v>
      </c>
      <c r="K5" s="164">
        <v>45.599201726028575</v>
      </c>
      <c r="L5" s="178"/>
      <c r="M5" s="179"/>
      <c r="N5" s="179"/>
      <c r="O5" s="180"/>
      <c r="P5" s="180"/>
      <c r="Q5" s="179"/>
      <c r="R5" s="179"/>
      <c r="S5" s="179"/>
      <c r="T5" s="179"/>
      <c r="U5" s="180"/>
      <c r="V5" s="179"/>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row>
    <row r="6" spans="1:104" s="182" customFormat="1" x14ac:dyDescent="0.25">
      <c r="A6" s="157" t="s">
        <v>70</v>
      </c>
      <c r="B6" s="164">
        <v>32.86</v>
      </c>
      <c r="C6" s="164">
        <v>19.28</v>
      </c>
      <c r="D6" s="164">
        <v>0.34</v>
      </c>
      <c r="E6" s="164">
        <v>0</v>
      </c>
      <c r="F6" s="164">
        <v>47.52</v>
      </c>
      <c r="G6" s="164">
        <v>13.53</v>
      </c>
      <c r="H6" s="164">
        <v>26.86</v>
      </c>
      <c r="I6" s="164">
        <v>12.8</v>
      </c>
      <c r="J6" s="164">
        <v>0</v>
      </c>
      <c r="K6" s="164">
        <v>46.81</v>
      </c>
      <c r="L6" s="178"/>
      <c r="M6" s="179"/>
      <c r="N6" s="179"/>
      <c r="O6" s="180"/>
      <c r="P6" s="180"/>
      <c r="Q6" s="179"/>
      <c r="R6" s="179"/>
      <c r="S6" s="179"/>
      <c r="T6" s="179"/>
      <c r="U6" s="180"/>
      <c r="V6" s="179"/>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81"/>
      <c r="CV6" s="181"/>
      <c r="CW6" s="181"/>
      <c r="CX6" s="181"/>
      <c r="CY6" s="181"/>
      <c r="CZ6" s="181"/>
    </row>
    <row r="7" spans="1:104" s="182" customFormat="1" x14ac:dyDescent="0.25">
      <c r="A7" s="210">
        <v>43586</v>
      </c>
      <c r="B7" s="164">
        <v>32.36</v>
      </c>
      <c r="C7" s="164">
        <v>19.78</v>
      </c>
      <c r="D7" s="164">
        <v>0.31</v>
      </c>
      <c r="E7" s="164">
        <v>0</v>
      </c>
      <c r="F7" s="164">
        <v>47.55</v>
      </c>
      <c r="G7" s="164">
        <v>11.377493782573319</v>
      </c>
      <c r="H7" s="164">
        <v>28.650158950799021</v>
      </c>
      <c r="I7" s="164">
        <v>14.373145540599086</v>
      </c>
      <c r="J7" s="164">
        <v>0</v>
      </c>
      <c r="K7" s="164">
        <v>45.599201726028575</v>
      </c>
      <c r="L7" s="178"/>
      <c r="M7" s="179"/>
      <c r="N7" s="179"/>
      <c r="O7" s="180"/>
      <c r="P7" s="180"/>
      <c r="Q7" s="179"/>
      <c r="R7" s="179"/>
      <c r="S7" s="179"/>
      <c r="T7" s="179"/>
      <c r="U7" s="180"/>
      <c r="V7" s="179"/>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1"/>
      <c r="CJ7" s="181"/>
      <c r="CK7" s="181"/>
      <c r="CL7" s="181"/>
      <c r="CM7" s="181"/>
      <c r="CN7" s="181"/>
      <c r="CO7" s="181"/>
      <c r="CP7" s="181"/>
      <c r="CQ7" s="181"/>
      <c r="CR7" s="181"/>
      <c r="CS7" s="181"/>
      <c r="CT7" s="181"/>
      <c r="CU7" s="181"/>
      <c r="CV7" s="181"/>
      <c r="CW7" s="181"/>
      <c r="CX7" s="181"/>
      <c r="CY7" s="181"/>
      <c r="CZ7" s="181"/>
    </row>
    <row r="8" spans="1:104" s="125" customFormat="1" ht="14.25" customHeight="1" x14ac:dyDescent="0.2">
      <c r="A8" s="594" t="s">
        <v>846</v>
      </c>
      <c r="B8" s="594"/>
      <c r="C8" s="594"/>
      <c r="D8" s="594"/>
      <c r="E8" s="594"/>
      <c r="F8" s="594"/>
      <c r="G8" s="594"/>
      <c r="H8" s="594"/>
      <c r="I8" s="594"/>
      <c r="J8" s="594"/>
      <c r="K8" s="594"/>
    </row>
    <row r="9" spans="1:104" s="125" customFormat="1" ht="13.5" customHeight="1" x14ac:dyDescent="0.2">
      <c r="A9" s="594" t="s">
        <v>276</v>
      </c>
      <c r="B9" s="594"/>
      <c r="C9" s="594"/>
      <c r="D9" s="594"/>
      <c r="E9" s="594"/>
      <c r="F9" s="594"/>
      <c r="G9" s="594"/>
      <c r="H9" s="594"/>
      <c r="I9" s="594"/>
      <c r="J9" s="594"/>
      <c r="K9" s="594"/>
    </row>
    <row r="10" spans="1:104" s="125" customFormat="1" ht="26.85" customHeight="1" x14ac:dyDescent="0.2"/>
  </sheetData>
  <mergeCells count="6">
    <mergeCell ref="A9:K9"/>
    <mergeCell ref="A1:K1"/>
    <mergeCell ref="A2:A3"/>
    <mergeCell ref="B2:F2"/>
    <mergeCell ref="G2:K2"/>
    <mergeCell ref="A8:K8"/>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zoomScaleNormal="100" workbookViewId="0">
      <selection activeCell="A2" sqref="A2:XFD2"/>
    </sheetView>
  </sheetViews>
  <sheetFormatPr defaultRowHeight="12.75" x14ac:dyDescent="0.2"/>
  <cols>
    <col min="1" max="6" width="14.7109375" style="117" bestFit="1" customWidth="1"/>
    <col min="7" max="7" width="8.7109375" style="117" customWidth="1"/>
    <col min="8" max="8" width="15" style="117" bestFit="1" customWidth="1"/>
    <col min="9" max="9" width="14.42578125" style="117" bestFit="1" customWidth="1"/>
    <col min="10" max="11" width="14.7109375" style="117" bestFit="1" customWidth="1"/>
    <col min="12" max="12" width="4.7109375" style="117" bestFit="1" customWidth="1"/>
    <col min="13" max="16384" width="9.140625" style="117"/>
  </cols>
  <sheetData>
    <row r="1" spans="1:11" ht="15" customHeight="1" x14ac:dyDescent="0.25">
      <c r="A1" s="612" t="str">
        <f>'Data Summary'!$A$42</f>
        <v>Table 40:  Instrument-wise Turnover in Index Derivatives at BSE</v>
      </c>
      <c r="B1" s="612"/>
      <c r="C1" s="612"/>
      <c r="D1" s="612"/>
      <c r="E1" s="612"/>
      <c r="F1" s="612"/>
      <c r="G1" s="612"/>
      <c r="H1" s="612"/>
      <c r="I1" s="123"/>
      <c r="J1" s="123"/>
      <c r="K1" s="123"/>
    </row>
    <row r="2" spans="1:11" s="122" customFormat="1" ht="18" customHeight="1" x14ac:dyDescent="0.25">
      <c r="A2" s="587" t="s">
        <v>388</v>
      </c>
      <c r="B2" s="631"/>
      <c r="C2" s="631"/>
      <c r="D2" s="631"/>
      <c r="E2" s="631"/>
      <c r="F2" s="631"/>
      <c r="G2" s="631"/>
      <c r="H2" s="631"/>
      <c r="I2" s="631"/>
      <c r="J2" s="631"/>
      <c r="K2" s="588"/>
    </row>
    <row r="3" spans="1:11" s="122" customFormat="1" ht="27.75" customHeight="1" x14ac:dyDescent="0.2">
      <c r="A3" s="508" t="s">
        <v>124</v>
      </c>
      <c r="B3" s="146" t="s">
        <v>389</v>
      </c>
      <c r="C3" s="146" t="s">
        <v>390</v>
      </c>
      <c r="D3" s="146" t="s">
        <v>391</v>
      </c>
      <c r="E3" s="146" t="s">
        <v>392</v>
      </c>
      <c r="F3" s="146" t="s">
        <v>393</v>
      </c>
      <c r="G3" s="146" t="s">
        <v>394</v>
      </c>
      <c r="H3" s="146" t="s">
        <v>395</v>
      </c>
      <c r="I3" s="146" t="s">
        <v>396</v>
      </c>
      <c r="J3" s="146" t="s">
        <v>397</v>
      </c>
      <c r="K3" s="146" t="s">
        <v>398</v>
      </c>
    </row>
    <row r="4" spans="1:11" s="122" customFormat="1" ht="18" customHeight="1" x14ac:dyDescent="0.2">
      <c r="A4" s="190" t="s">
        <v>5</v>
      </c>
      <c r="B4" s="500">
        <v>41.32</v>
      </c>
      <c r="C4" s="500">
        <v>0</v>
      </c>
      <c r="D4" s="500">
        <v>58.68</v>
      </c>
      <c r="E4" s="500">
        <v>0</v>
      </c>
      <c r="F4" s="500">
        <v>0</v>
      </c>
      <c r="G4" s="500">
        <v>0</v>
      </c>
      <c r="H4" s="500">
        <v>0</v>
      </c>
      <c r="I4" s="500">
        <v>0</v>
      </c>
      <c r="J4" s="500">
        <v>0</v>
      </c>
      <c r="K4" s="500">
        <v>0</v>
      </c>
    </row>
    <row r="5" spans="1:11" s="122" customFormat="1" ht="18" customHeight="1" x14ac:dyDescent="0.2">
      <c r="A5" s="190" t="s">
        <v>6</v>
      </c>
      <c r="B5" s="500">
        <v>100</v>
      </c>
      <c r="C5" s="500">
        <v>0</v>
      </c>
      <c r="D5" s="500">
        <v>0</v>
      </c>
      <c r="E5" s="500">
        <v>0</v>
      </c>
      <c r="F5" s="500">
        <v>0</v>
      </c>
      <c r="G5" s="500">
        <v>0</v>
      </c>
      <c r="H5" s="500">
        <v>0</v>
      </c>
      <c r="I5" s="500">
        <v>0</v>
      </c>
      <c r="J5" s="500">
        <v>0</v>
      </c>
      <c r="K5" s="500">
        <v>0</v>
      </c>
    </row>
    <row r="6" spans="1:11" s="122" customFormat="1" ht="18" customHeight="1" x14ac:dyDescent="0.2">
      <c r="A6" s="156" t="s">
        <v>70</v>
      </c>
      <c r="B6" s="500">
        <v>100</v>
      </c>
      <c r="C6" s="500">
        <v>0</v>
      </c>
      <c r="D6" s="500">
        <v>0</v>
      </c>
      <c r="E6" s="500">
        <v>0</v>
      </c>
      <c r="F6" s="500">
        <v>0</v>
      </c>
      <c r="G6" s="500">
        <v>0</v>
      </c>
      <c r="H6" s="500">
        <v>0</v>
      </c>
      <c r="I6" s="500">
        <v>0</v>
      </c>
      <c r="J6" s="500">
        <v>0</v>
      </c>
      <c r="K6" s="500">
        <v>0</v>
      </c>
    </row>
    <row r="7" spans="1:11" s="122" customFormat="1" ht="18" customHeight="1" x14ac:dyDescent="0.2">
      <c r="A7" s="188">
        <v>43586</v>
      </c>
      <c r="B7" s="500">
        <v>100</v>
      </c>
      <c r="C7" s="500">
        <v>0</v>
      </c>
      <c r="D7" s="500">
        <v>0</v>
      </c>
      <c r="E7" s="500">
        <v>0</v>
      </c>
      <c r="F7" s="500">
        <v>0</v>
      </c>
      <c r="G7" s="500">
        <v>0</v>
      </c>
      <c r="H7" s="500">
        <v>0</v>
      </c>
      <c r="I7" s="500">
        <v>0</v>
      </c>
      <c r="J7" s="500">
        <v>0</v>
      </c>
      <c r="K7" s="500">
        <v>0</v>
      </c>
    </row>
    <row r="8" spans="1:11" s="122" customFormat="1" ht="14.25" customHeight="1" x14ac:dyDescent="0.2">
      <c r="A8" s="575" t="s">
        <v>846</v>
      </c>
      <c r="B8" s="575"/>
      <c r="C8" s="575"/>
      <c r="D8" s="575"/>
      <c r="E8" s="575"/>
      <c r="F8" s="575"/>
    </row>
    <row r="9" spans="1:11" s="122" customFormat="1" ht="13.5" customHeight="1" x14ac:dyDescent="0.2">
      <c r="A9" s="575" t="s">
        <v>225</v>
      </c>
      <c r="B9" s="575"/>
      <c r="C9" s="575"/>
      <c r="D9" s="575"/>
      <c r="E9" s="575"/>
      <c r="F9" s="575"/>
    </row>
    <row r="10" spans="1:11" s="122" customFormat="1" ht="27.6" customHeight="1" x14ac:dyDescent="0.2"/>
  </sheetData>
  <mergeCells count="4">
    <mergeCell ref="A1:H1"/>
    <mergeCell ref="A2:K2"/>
    <mergeCell ref="A8:F8"/>
    <mergeCell ref="A9:F9"/>
  </mergeCells>
  <pageMargins left="0.78431372549019618" right="0.78431372549019618" top="0.98039215686274517" bottom="0.98039215686274517" header="0.50980392156862753" footer="0.50980392156862753"/>
  <pageSetup paperSize="9" scale="84" orientation="landscape" useFirstPageNumber="1"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zoomScaleNormal="100" workbookViewId="0">
      <selection activeCell="G12" sqref="G12"/>
    </sheetView>
  </sheetViews>
  <sheetFormatPr defaultRowHeight="12.75" x14ac:dyDescent="0.2"/>
  <cols>
    <col min="1" max="1" width="14.7109375" style="117" bestFit="1" customWidth="1"/>
    <col min="2" max="2" width="9.140625" style="117" customWidth="1"/>
    <col min="3" max="3" width="12.140625" style="117" customWidth="1"/>
    <col min="4" max="8" width="14.7109375" style="117" bestFit="1" customWidth="1"/>
    <col min="9" max="9" width="12.140625" style="117" customWidth="1"/>
    <col min="10" max="10" width="12.28515625" style="117" customWidth="1"/>
    <col min="11" max="11" width="13.140625" style="117" customWidth="1"/>
    <col min="12" max="12" width="14.7109375" style="117" bestFit="1" customWidth="1"/>
    <col min="13" max="13" width="4.7109375" style="117" bestFit="1" customWidth="1"/>
    <col min="14" max="16384" width="9.140625" style="117"/>
  </cols>
  <sheetData>
    <row r="1" spans="1:12" ht="15" customHeight="1" x14ac:dyDescent="0.25">
      <c r="A1" s="612" t="str">
        <f>'Data Summary'!$A$43</f>
        <v>Table 41:  Instrument-wise Turnover in Index Derivatives at NSE</v>
      </c>
      <c r="B1" s="612"/>
      <c r="C1" s="612"/>
      <c r="D1" s="612"/>
      <c r="E1" s="612"/>
      <c r="F1" s="612"/>
      <c r="G1" s="612"/>
      <c r="H1" s="612"/>
      <c r="I1" s="612"/>
      <c r="J1" s="612"/>
      <c r="K1" s="612"/>
      <c r="L1" s="123"/>
    </row>
    <row r="2" spans="1:12" s="509" customFormat="1" ht="18" customHeight="1" x14ac:dyDescent="0.25">
      <c r="A2" s="656" t="s">
        <v>388</v>
      </c>
      <c r="B2" s="657"/>
      <c r="C2" s="657"/>
      <c r="D2" s="657"/>
      <c r="E2" s="657"/>
      <c r="F2" s="657"/>
      <c r="G2" s="657"/>
      <c r="H2" s="657"/>
      <c r="I2" s="657"/>
      <c r="J2" s="657"/>
      <c r="K2" s="657"/>
      <c r="L2" s="658"/>
    </row>
    <row r="3" spans="1:12" s="122" customFormat="1" ht="18.75" customHeight="1" x14ac:dyDescent="0.2">
      <c r="A3" s="466" t="s">
        <v>124</v>
      </c>
      <c r="B3" s="466" t="s">
        <v>399</v>
      </c>
      <c r="C3" s="466" t="s">
        <v>400</v>
      </c>
      <c r="D3" s="466" t="s">
        <v>401</v>
      </c>
      <c r="E3" s="466" t="s">
        <v>402</v>
      </c>
      <c r="F3" s="466" t="s">
        <v>403</v>
      </c>
      <c r="G3" s="466" t="s">
        <v>404</v>
      </c>
      <c r="H3" s="466" t="s">
        <v>405</v>
      </c>
      <c r="I3" s="466" t="s">
        <v>406</v>
      </c>
      <c r="J3" s="466" t="s">
        <v>407</v>
      </c>
      <c r="K3" s="466" t="s">
        <v>408</v>
      </c>
      <c r="L3" s="466" t="s">
        <v>409</v>
      </c>
    </row>
    <row r="4" spans="1:12" s="122" customFormat="1" ht="18" customHeight="1" x14ac:dyDescent="0.25">
      <c r="A4" s="209" t="s">
        <v>5</v>
      </c>
      <c r="B4" s="164">
        <v>26.234649335</v>
      </c>
      <c r="C4" s="164">
        <v>3.8559150000000001E-3</v>
      </c>
      <c r="D4" s="164">
        <v>73.758930496999994</v>
      </c>
      <c r="E4" s="164">
        <v>2.8288929999999999E-3</v>
      </c>
      <c r="F4" s="164">
        <v>9.9999999999999995E-7</v>
      </c>
      <c r="G4" s="164">
        <v>0</v>
      </c>
      <c r="H4" s="164">
        <v>8.4999999999999994E-8</v>
      </c>
      <c r="I4" s="164">
        <v>0</v>
      </c>
      <c r="J4" s="164">
        <v>0</v>
      </c>
      <c r="K4" s="164">
        <v>0</v>
      </c>
      <c r="L4" s="164">
        <v>4.01E-7</v>
      </c>
    </row>
    <row r="5" spans="1:12" s="177" customFormat="1" ht="15" x14ac:dyDescent="0.25">
      <c r="A5" s="209" t="s">
        <v>6</v>
      </c>
      <c r="B5" s="164">
        <v>36.685373587236079</v>
      </c>
      <c r="C5" s="164">
        <v>2.5081464659463654E-3</v>
      </c>
      <c r="D5" s="164">
        <v>63.312118266298093</v>
      </c>
      <c r="E5" s="164">
        <v>0</v>
      </c>
      <c r="F5" s="164">
        <v>0</v>
      </c>
      <c r="G5" s="164">
        <v>0</v>
      </c>
      <c r="H5" s="164">
        <v>0</v>
      </c>
      <c r="I5" s="164">
        <v>0</v>
      </c>
      <c r="J5" s="164">
        <v>0</v>
      </c>
      <c r="K5" s="164">
        <v>0</v>
      </c>
      <c r="L5" s="164">
        <v>0</v>
      </c>
    </row>
    <row r="6" spans="1:12" s="177" customFormat="1" ht="15" x14ac:dyDescent="0.25">
      <c r="A6" s="157" t="s">
        <v>70</v>
      </c>
      <c r="B6" s="164">
        <v>32.68824</v>
      </c>
      <c r="C6" s="164">
        <v>2.977E-3</v>
      </c>
      <c r="D6" s="164">
        <v>67.308783000000005</v>
      </c>
      <c r="E6" s="164">
        <v>0</v>
      </c>
      <c r="F6" s="164">
        <v>0</v>
      </c>
      <c r="G6" s="164">
        <v>0</v>
      </c>
      <c r="H6" s="164">
        <v>0</v>
      </c>
      <c r="I6" s="164">
        <v>0</v>
      </c>
      <c r="J6" s="164">
        <v>0</v>
      </c>
      <c r="K6" s="164">
        <v>0</v>
      </c>
      <c r="L6" s="164">
        <v>0</v>
      </c>
    </row>
    <row r="7" spans="1:12" s="177" customFormat="1" ht="15" x14ac:dyDescent="0.25">
      <c r="A7" s="210">
        <v>43586</v>
      </c>
      <c r="B7" s="164">
        <v>40.203768693469748</v>
      </c>
      <c r="C7" s="164">
        <v>2.0953280299463371E-3</v>
      </c>
      <c r="D7" s="164">
        <v>59.794135978500528</v>
      </c>
      <c r="E7" s="164">
        <v>0</v>
      </c>
      <c r="F7" s="164">
        <v>0</v>
      </c>
      <c r="G7" s="164">
        <v>0</v>
      </c>
      <c r="H7" s="164">
        <v>0</v>
      </c>
      <c r="I7" s="164">
        <v>0</v>
      </c>
      <c r="J7" s="164">
        <v>0</v>
      </c>
      <c r="K7" s="164">
        <v>0</v>
      </c>
      <c r="L7" s="164">
        <v>0</v>
      </c>
    </row>
    <row r="8" spans="1:12" s="122" customFormat="1" ht="14.25" customHeight="1" x14ac:dyDescent="0.2">
      <c r="A8" s="594" t="s">
        <v>846</v>
      </c>
      <c r="B8" s="594"/>
      <c r="C8" s="594"/>
      <c r="D8" s="594"/>
    </row>
    <row r="9" spans="1:12" s="122" customFormat="1" ht="13.5" customHeight="1" x14ac:dyDescent="0.2">
      <c r="A9" s="594" t="s">
        <v>276</v>
      </c>
      <c r="B9" s="594"/>
      <c r="C9" s="594"/>
      <c r="D9" s="594"/>
    </row>
    <row r="10" spans="1:12" s="122" customFormat="1" ht="28.35" customHeight="1" x14ac:dyDescent="0.2"/>
  </sheetData>
  <mergeCells count="4">
    <mergeCell ref="A1:K1"/>
    <mergeCell ref="A8:D8"/>
    <mergeCell ref="A9:D9"/>
    <mergeCell ref="A2:L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zoomScaleNormal="100" workbookViewId="0">
      <selection activeCell="G11" sqref="G11"/>
    </sheetView>
  </sheetViews>
  <sheetFormatPr defaultColWidth="11" defaultRowHeight="15" x14ac:dyDescent="0.2"/>
  <cols>
    <col min="1" max="1" width="8.42578125" style="247" customWidth="1"/>
    <col min="2" max="2" width="8.7109375" style="247" customWidth="1"/>
    <col min="3" max="3" width="11.28515625" style="247" bestFit="1" customWidth="1"/>
    <col min="4" max="4" width="11.140625" style="247" bestFit="1" customWidth="1"/>
    <col min="5" max="5" width="11.28515625" style="247" bestFit="1" customWidth="1"/>
    <col min="6" max="6" width="11.140625" style="247" bestFit="1" customWidth="1"/>
    <col min="7" max="7" width="11.28515625" style="247" bestFit="1" customWidth="1"/>
    <col min="8" max="8" width="11.140625" style="247" bestFit="1" customWidth="1"/>
    <col min="9" max="9" width="12.7109375" style="247" bestFit="1" customWidth="1"/>
    <col min="10" max="12" width="11.140625" style="247" bestFit="1" customWidth="1"/>
    <col min="13" max="16384" width="11" style="247"/>
  </cols>
  <sheetData>
    <row r="1" spans="1:12" ht="16.5" customHeight="1" x14ac:dyDescent="0.2">
      <c r="A1" s="576" t="str">
        <f>'Data Summary'!$A$44</f>
        <v>Table 42:  Trends in Currency Derivatives Segment at BSE</v>
      </c>
      <c r="B1" s="576"/>
      <c r="C1" s="576"/>
      <c r="D1" s="576"/>
      <c r="E1" s="576"/>
      <c r="F1" s="576"/>
      <c r="G1" s="576"/>
      <c r="H1" s="576"/>
      <c r="I1" s="576"/>
      <c r="J1" s="576"/>
      <c r="K1" s="576"/>
      <c r="L1" s="576"/>
    </row>
    <row r="2" spans="1:12" s="122" customFormat="1" ht="15" customHeight="1" x14ac:dyDescent="0.2">
      <c r="A2" s="591" t="s">
        <v>82</v>
      </c>
      <c r="B2" s="591" t="s">
        <v>153</v>
      </c>
      <c r="C2" s="614" t="s">
        <v>410</v>
      </c>
      <c r="D2" s="615"/>
      <c r="E2" s="618" t="s">
        <v>411</v>
      </c>
      <c r="F2" s="619"/>
      <c r="G2" s="619"/>
      <c r="H2" s="620"/>
      <c r="I2" s="614" t="s">
        <v>64</v>
      </c>
      <c r="J2" s="615"/>
      <c r="K2" s="650" t="s">
        <v>412</v>
      </c>
      <c r="L2" s="651"/>
    </row>
    <row r="3" spans="1:12" s="122" customFormat="1" ht="15" customHeight="1" x14ac:dyDescent="0.2">
      <c r="A3" s="613"/>
      <c r="B3" s="613"/>
      <c r="C3" s="616"/>
      <c r="D3" s="617"/>
      <c r="E3" s="618" t="s">
        <v>372</v>
      </c>
      <c r="F3" s="620"/>
      <c r="G3" s="618" t="s">
        <v>373</v>
      </c>
      <c r="H3" s="620"/>
      <c r="I3" s="616"/>
      <c r="J3" s="617"/>
      <c r="K3" s="652"/>
      <c r="L3" s="653"/>
    </row>
    <row r="4" spans="1:12" s="122" customFormat="1" ht="27" customHeight="1" x14ac:dyDescent="0.2">
      <c r="A4" s="592"/>
      <c r="B4" s="592"/>
      <c r="C4" s="124" t="s">
        <v>413</v>
      </c>
      <c r="D4" s="7" t="s">
        <v>156</v>
      </c>
      <c r="E4" s="124" t="s">
        <v>413</v>
      </c>
      <c r="F4" s="7" t="s">
        <v>156</v>
      </c>
      <c r="G4" s="124" t="s">
        <v>414</v>
      </c>
      <c r="H4" s="7" t="s">
        <v>156</v>
      </c>
      <c r="I4" s="124" t="s">
        <v>413</v>
      </c>
      <c r="J4" s="7" t="s">
        <v>156</v>
      </c>
      <c r="K4" s="124" t="s">
        <v>414</v>
      </c>
      <c r="L4" s="7" t="s">
        <v>415</v>
      </c>
    </row>
    <row r="5" spans="1:12" s="122" customFormat="1" ht="18" customHeight="1" x14ac:dyDescent="0.2">
      <c r="A5" s="190" t="s">
        <v>5</v>
      </c>
      <c r="B5" s="510">
        <v>243</v>
      </c>
      <c r="C5" s="511">
        <v>456884165</v>
      </c>
      <c r="D5" s="504">
        <v>3206488.5554999998</v>
      </c>
      <c r="E5" s="511">
        <v>241869262</v>
      </c>
      <c r="F5" s="504">
        <v>1719119.8917</v>
      </c>
      <c r="G5" s="511">
        <v>353698730</v>
      </c>
      <c r="H5" s="504">
        <v>2426665.9497000002</v>
      </c>
      <c r="I5" s="512">
        <v>1052452157</v>
      </c>
      <c r="J5" s="504">
        <v>7352274.3969000001</v>
      </c>
      <c r="K5" s="504">
        <v>712162</v>
      </c>
      <c r="L5" s="507">
        <v>4929.4030998600001</v>
      </c>
    </row>
    <row r="6" spans="1:12" s="122" customFormat="1" ht="18" customHeight="1" x14ac:dyDescent="0.2">
      <c r="A6" s="190" t="s">
        <v>6</v>
      </c>
      <c r="B6" s="510">
        <f>SUM(B7:B8)</f>
        <v>40</v>
      </c>
      <c r="C6" s="511">
        <f t="shared" ref="C6:J6" si="0">SUM(C7:C8)</f>
        <v>63748600</v>
      </c>
      <c r="D6" s="504">
        <f t="shared" si="0"/>
        <v>445045.59720000002</v>
      </c>
      <c r="E6" s="511">
        <f t="shared" si="0"/>
        <v>55006076</v>
      </c>
      <c r="F6" s="504">
        <f t="shared" si="0"/>
        <v>392191.78049999999</v>
      </c>
      <c r="G6" s="511">
        <f t="shared" si="0"/>
        <v>57777916</v>
      </c>
      <c r="H6" s="504">
        <f t="shared" si="0"/>
        <v>395796.03460000001</v>
      </c>
      <c r="I6" s="511">
        <f t="shared" si="0"/>
        <v>176532592</v>
      </c>
      <c r="J6" s="504">
        <f t="shared" si="0"/>
        <v>1233033.4123</v>
      </c>
      <c r="K6" s="504">
        <f>K8</f>
        <v>557625</v>
      </c>
      <c r="L6" s="507">
        <f>L8</f>
        <v>3889.0176966400008</v>
      </c>
    </row>
    <row r="7" spans="1:12" s="122" customFormat="1" ht="18" customHeight="1" x14ac:dyDescent="0.2">
      <c r="A7" s="156" t="s">
        <v>70</v>
      </c>
      <c r="B7" s="510">
        <v>18</v>
      </c>
      <c r="C7" s="511">
        <v>28454552</v>
      </c>
      <c r="D7" s="504">
        <v>198227.2494</v>
      </c>
      <c r="E7" s="511">
        <v>27648067</v>
      </c>
      <c r="F7" s="504">
        <v>196542.5117</v>
      </c>
      <c r="G7" s="511">
        <v>27200048</v>
      </c>
      <c r="H7" s="504">
        <v>185922.52420000001</v>
      </c>
      <c r="I7" s="511">
        <v>83302667</v>
      </c>
      <c r="J7" s="504">
        <v>580692.28529999999</v>
      </c>
      <c r="K7" s="504">
        <v>1277029</v>
      </c>
      <c r="L7" s="507">
        <v>8920.27</v>
      </c>
    </row>
    <row r="8" spans="1:12" s="122" customFormat="1" ht="18" customHeight="1" x14ac:dyDescent="0.2">
      <c r="A8" s="188">
        <v>43586</v>
      </c>
      <c r="B8" s="510">
        <v>22</v>
      </c>
      <c r="C8" s="511">
        <v>35294048</v>
      </c>
      <c r="D8" s="504">
        <v>246818.34780000002</v>
      </c>
      <c r="E8" s="511">
        <v>27358009</v>
      </c>
      <c r="F8" s="504">
        <v>195649.26879999996</v>
      </c>
      <c r="G8" s="511">
        <v>30577868</v>
      </c>
      <c r="H8" s="504">
        <v>209873.5104</v>
      </c>
      <c r="I8" s="511">
        <v>93229925</v>
      </c>
      <c r="J8" s="504">
        <v>652341.12700000009</v>
      </c>
      <c r="K8" s="504">
        <v>557625</v>
      </c>
      <c r="L8" s="507">
        <v>3889.0176966400008</v>
      </c>
    </row>
    <row r="9" spans="1:12" s="189" customFormat="1" ht="15" customHeight="1" x14ac:dyDescent="0.2">
      <c r="A9" s="648" t="s">
        <v>846</v>
      </c>
      <c r="B9" s="648"/>
      <c r="C9" s="648"/>
      <c r="D9" s="648"/>
      <c r="E9" s="648"/>
      <c r="F9" s="648"/>
      <c r="G9" s="648"/>
      <c r="H9" s="648"/>
      <c r="I9" s="648"/>
      <c r="J9" s="648"/>
      <c r="K9" s="648"/>
      <c r="L9" s="648"/>
    </row>
    <row r="10" spans="1:12" s="189" customFormat="1" ht="13.5" customHeight="1" x14ac:dyDescent="0.2">
      <c r="A10" s="648" t="s">
        <v>416</v>
      </c>
      <c r="B10" s="648"/>
      <c r="C10" s="648"/>
      <c r="D10" s="648"/>
      <c r="E10" s="648"/>
      <c r="F10" s="648"/>
      <c r="G10" s="648"/>
      <c r="H10" s="648"/>
      <c r="I10" s="648"/>
      <c r="J10" s="648"/>
      <c r="K10" s="648"/>
      <c r="L10" s="648"/>
    </row>
    <row r="11" spans="1:12" s="125" customFormat="1" ht="26.85" customHeight="1" x14ac:dyDescent="0.2"/>
  </sheetData>
  <mergeCells count="11">
    <mergeCell ref="A9:L9"/>
    <mergeCell ref="A10:L10"/>
    <mergeCell ref="A1:L1"/>
    <mergeCell ref="A2:A4"/>
    <mergeCell ref="B2:B4"/>
    <mergeCell ref="C2:D3"/>
    <mergeCell ref="E2:H2"/>
    <mergeCell ref="I2:J3"/>
    <mergeCell ref="K2:L3"/>
    <mergeCell ref="E3:F3"/>
    <mergeCell ref="G3:H3"/>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zoomScaleNormal="100" workbookViewId="0">
      <selection activeCell="K6" sqref="K6"/>
    </sheetView>
  </sheetViews>
  <sheetFormatPr defaultRowHeight="15" x14ac:dyDescent="0.25"/>
  <cols>
    <col min="1" max="1" width="9.42578125" style="123" bestFit="1" customWidth="1"/>
    <col min="2" max="2" width="7.7109375" style="123" bestFit="1" customWidth="1"/>
    <col min="3" max="8" width="12.140625" style="123" bestFit="1" customWidth="1"/>
    <col min="9" max="9" width="14.42578125" style="123" customWidth="1"/>
    <col min="10" max="11" width="12.140625" style="123" bestFit="1" customWidth="1"/>
    <col min="12" max="12" width="10.7109375" style="123" bestFit="1" customWidth="1"/>
    <col min="13" max="13" width="6" style="123" bestFit="1" customWidth="1"/>
    <col min="14" max="16384" width="9.140625" style="123"/>
  </cols>
  <sheetData>
    <row r="1" spans="1:12" ht="15.75" customHeight="1" x14ac:dyDescent="0.25">
      <c r="A1" s="612" t="str">
        <f>'Data Summary'!$A$45</f>
        <v>Table 43:  Trends in Currency Derivatives Segment at NSE</v>
      </c>
      <c r="B1" s="612"/>
      <c r="C1" s="612"/>
      <c r="D1" s="612"/>
      <c r="E1" s="612"/>
      <c r="F1" s="612"/>
      <c r="G1" s="612"/>
      <c r="H1" s="612"/>
      <c r="I1" s="612"/>
      <c r="J1" s="612"/>
      <c r="K1" s="612"/>
      <c r="L1" s="612"/>
    </row>
    <row r="2" spans="1:12" s="122" customFormat="1" ht="25.5" customHeight="1" x14ac:dyDescent="0.2">
      <c r="A2" s="660" t="s">
        <v>366</v>
      </c>
      <c r="B2" s="591" t="s">
        <v>417</v>
      </c>
      <c r="C2" s="618" t="s">
        <v>410</v>
      </c>
      <c r="D2" s="620"/>
      <c r="E2" s="618" t="s">
        <v>418</v>
      </c>
      <c r="F2" s="619"/>
      <c r="G2" s="619"/>
      <c r="H2" s="620"/>
      <c r="I2" s="618" t="s">
        <v>64</v>
      </c>
      <c r="J2" s="620"/>
      <c r="K2" s="589" t="s">
        <v>419</v>
      </c>
      <c r="L2" s="590"/>
    </row>
    <row r="3" spans="1:12" s="122" customFormat="1" ht="18" customHeight="1" x14ac:dyDescent="0.2">
      <c r="A3" s="661"/>
      <c r="B3" s="613"/>
      <c r="C3" s="654" t="s">
        <v>374</v>
      </c>
      <c r="D3" s="659" t="s">
        <v>375</v>
      </c>
      <c r="E3" s="618" t="s">
        <v>372</v>
      </c>
      <c r="F3" s="620"/>
      <c r="G3" s="618" t="s">
        <v>373</v>
      </c>
      <c r="H3" s="620"/>
      <c r="I3" s="591" t="s">
        <v>414</v>
      </c>
      <c r="J3" s="593" t="s">
        <v>156</v>
      </c>
      <c r="K3" s="654" t="s">
        <v>374</v>
      </c>
      <c r="L3" s="659" t="s">
        <v>420</v>
      </c>
    </row>
    <row r="4" spans="1:12" s="122" customFormat="1" ht="28.5" customHeight="1" x14ac:dyDescent="0.2">
      <c r="A4" s="662"/>
      <c r="B4" s="592"/>
      <c r="C4" s="655"/>
      <c r="D4" s="655"/>
      <c r="E4" s="304" t="s">
        <v>374</v>
      </c>
      <c r="F4" s="473" t="s">
        <v>375</v>
      </c>
      <c r="G4" s="304" t="s">
        <v>374</v>
      </c>
      <c r="H4" s="473" t="s">
        <v>375</v>
      </c>
      <c r="I4" s="592"/>
      <c r="J4" s="592"/>
      <c r="K4" s="655"/>
      <c r="L4" s="655"/>
    </row>
    <row r="5" spans="1:12" s="122" customFormat="1" ht="18" customHeight="1" x14ac:dyDescent="0.2">
      <c r="A5" s="190" t="s">
        <v>5</v>
      </c>
      <c r="B5" s="510">
        <v>243</v>
      </c>
      <c r="C5" s="511">
        <v>650024870</v>
      </c>
      <c r="D5" s="504">
        <v>4654927.074</v>
      </c>
      <c r="E5" s="511">
        <v>275919964</v>
      </c>
      <c r="F5" s="504">
        <v>1956019.6510000001</v>
      </c>
      <c r="G5" s="511">
        <v>272439387</v>
      </c>
      <c r="H5" s="504">
        <v>1907404.517</v>
      </c>
      <c r="I5" s="512">
        <v>1198384221</v>
      </c>
      <c r="J5" s="504">
        <v>8518351.2430000007</v>
      </c>
      <c r="K5" s="504">
        <v>4205566</v>
      </c>
      <c r="L5" s="507">
        <v>29351.446449999999</v>
      </c>
    </row>
    <row r="6" spans="1:12" s="122" customFormat="1" ht="18" customHeight="1" x14ac:dyDescent="0.2">
      <c r="A6" s="190" t="s">
        <v>6</v>
      </c>
      <c r="B6" s="510">
        <f>SUM(B7:B8)</f>
        <v>40</v>
      </c>
      <c r="C6" s="511">
        <f t="shared" ref="C6:J6" si="0">SUM(C7:C8)</f>
        <v>101034378</v>
      </c>
      <c r="D6" s="504">
        <f t="shared" si="0"/>
        <v>718050.69371491205</v>
      </c>
      <c r="E6" s="511">
        <f t="shared" si="0"/>
        <v>49231614</v>
      </c>
      <c r="F6" s="504">
        <f t="shared" si="0"/>
        <v>345550.66631374997</v>
      </c>
      <c r="G6" s="511">
        <f t="shared" si="0"/>
        <v>47606010</v>
      </c>
      <c r="H6" s="504">
        <f t="shared" si="0"/>
        <v>331013.03872025001</v>
      </c>
      <c r="I6" s="511">
        <f t="shared" si="0"/>
        <v>197872002</v>
      </c>
      <c r="J6" s="504">
        <f t="shared" si="0"/>
        <v>1394614.3987489119</v>
      </c>
      <c r="K6" s="504">
        <f>K8</f>
        <v>3408947</v>
      </c>
      <c r="L6" s="507">
        <f>L8</f>
        <v>24031.578395389999</v>
      </c>
    </row>
    <row r="7" spans="1:12" s="122" customFormat="1" ht="18" customHeight="1" x14ac:dyDescent="0.2">
      <c r="A7" s="156" t="s">
        <v>70</v>
      </c>
      <c r="B7" s="510">
        <v>18</v>
      </c>
      <c r="C7" s="511">
        <v>50944880</v>
      </c>
      <c r="D7" s="504">
        <v>361284.89750000002</v>
      </c>
      <c r="E7" s="511">
        <v>25110750</v>
      </c>
      <c r="F7" s="504">
        <v>175702.55790000001</v>
      </c>
      <c r="G7" s="511">
        <v>25140409</v>
      </c>
      <c r="H7" s="504">
        <v>174367.6292</v>
      </c>
      <c r="I7" s="511">
        <v>101196039</v>
      </c>
      <c r="J7" s="504">
        <v>711355.08459999994</v>
      </c>
      <c r="K7" s="504">
        <v>5062681</v>
      </c>
      <c r="L7" s="507">
        <v>35527.743860000002</v>
      </c>
    </row>
    <row r="8" spans="1:12" s="122" customFormat="1" ht="18" customHeight="1" x14ac:dyDescent="0.2">
      <c r="A8" s="188">
        <v>43586</v>
      </c>
      <c r="B8" s="510">
        <v>22</v>
      </c>
      <c r="C8" s="511">
        <v>50089498</v>
      </c>
      <c r="D8" s="504">
        <v>356765.79621491203</v>
      </c>
      <c r="E8" s="511">
        <v>24120864</v>
      </c>
      <c r="F8" s="504">
        <v>169848.10841374999</v>
      </c>
      <c r="G8" s="511">
        <v>22465601</v>
      </c>
      <c r="H8" s="504">
        <v>156645.40952024999</v>
      </c>
      <c r="I8" s="511">
        <v>96675963</v>
      </c>
      <c r="J8" s="504">
        <v>683259.31414891197</v>
      </c>
      <c r="K8" s="504">
        <v>3408947</v>
      </c>
      <c r="L8" s="507">
        <v>24031.578395389999</v>
      </c>
    </row>
    <row r="9" spans="1:12" s="189" customFormat="1" ht="15" customHeight="1" x14ac:dyDescent="0.2">
      <c r="A9" s="594" t="s">
        <v>421</v>
      </c>
      <c r="B9" s="594"/>
      <c r="C9" s="594"/>
      <c r="D9" s="594"/>
      <c r="E9" s="594"/>
      <c r="F9" s="594"/>
      <c r="G9" s="594"/>
      <c r="H9" s="594"/>
      <c r="I9" s="594"/>
      <c r="J9" s="594"/>
      <c r="K9" s="594"/>
      <c r="L9" s="594"/>
    </row>
    <row r="10" spans="1:12" s="189" customFormat="1" ht="13.5" customHeight="1" x14ac:dyDescent="0.2">
      <c r="A10" s="594" t="s">
        <v>846</v>
      </c>
      <c r="B10" s="594"/>
      <c r="C10" s="594"/>
      <c r="D10" s="594"/>
      <c r="E10" s="594"/>
      <c r="F10" s="594"/>
      <c r="G10" s="594"/>
      <c r="H10" s="594"/>
      <c r="I10" s="594"/>
      <c r="J10" s="594"/>
      <c r="K10" s="594"/>
      <c r="L10" s="594"/>
    </row>
    <row r="11" spans="1:12" s="189" customFormat="1" ht="13.5" customHeight="1" x14ac:dyDescent="0.2">
      <c r="A11" s="594" t="s">
        <v>276</v>
      </c>
      <c r="B11" s="594"/>
      <c r="C11" s="594"/>
      <c r="D11" s="594"/>
      <c r="E11" s="594"/>
      <c r="F11" s="594"/>
      <c r="G11" s="594"/>
      <c r="H11" s="594"/>
      <c r="I11" s="594"/>
      <c r="J11" s="594"/>
      <c r="K11" s="594"/>
      <c r="L11" s="594"/>
    </row>
    <row r="12" spans="1:12" s="125" customFormat="1" ht="28.35" customHeight="1" x14ac:dyDescent="0.2"/>
  </sheetData>
  <mergeCells count="18">
    <mergeCell ref="A1:L1"/>
    <mergeCell ref="A2:A4"/>
    <mergeCell ref="B2:B4"/>
    <mergeCell ref="C2:D2"/>
    <mergeCell ref="E2:H2"/>
    <mergeCell ref="I2:J2"/>
    <mergeCell ref="K2:L2"/>
    <mergeCell ref="C3:C4"/>
    <mergeCell ref="D3:D4"/>
    <mergeCell ref="E3:F3"/>
    <mergeCell ref="A10:L10"/>
    <mergeCell ref="A11:L11"/>
    <mergeCell ref="G3:H3"/>
    <mergeCell ref="I3:I4"/>
    <mergeCell ref="J3:J4"/>
    <mergeCell ref="K3:K4"/>
    <mergeCell ref="L3:L4"/>
    <mergeCell ref="A9:L9"/>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zoomScaleNormal="100" workbookViewId="0">
      <selection activeCell="J8" sqref="J8"/>
    </sheetView>
  </sheetViews>
  <sheetFormatPr defaultRowHeight="15" x14ac:dyDescent="0.25"/>
  <cols>
    <col min="1" max="1" width="9.42578125" style="123" bestFit="1" customWidth="1"/>
    <col min="2" max="2" width="7.7109375" style="123" bestFit="1" customWidth="1"/>
    <col min="3" max="9" width="12.140625" style="123" bestFit="1" customWidth="1"/>
    <col min="10" max="10" width="10" style="123" bestFit="1" customWidth="1"/>
    <col min="11" max="11" width="8.7109375" style="123" customWidth="1"/>
    <col min="12" max="12" width="9.140625" style="123" bestFit="1" customWidth="1"/>
    <col min="13" max="13" width="7.5703125" style="123" bestFit="1" customWidth="1"/>
    <col min="14" max="16384" width="9.140625" style="123"/>
  </cols>
  <sheetData>
    <row r="1" spans="1:12" ht="15.75" customHeight="1" x14ac:dyDescent="0.25">
      <c r="A1" s="612" t="str">
        <f>'Data Summary'!$A$46</f>
        <v>Table 44:  Trends in Currency Derivatives Segment at MSEI</v>
      </c>
      <c r="B1" s="612"/>
      <c r="C1" s="612"/>
      <c r="D1" s="612"/>
      <c r="E1" s="612"/>
      <c r="F1" s="612"/>
      <c r="G1" s="612"/>
      <c r="H1" s="612"/>
      <c r="I1" s="612"/>
      <c r="J1" s="612"/>
      <c r="K1" s="612"/>
      <c r="L1" s="612"/>
    </row>
    <row r="2" spans="1:12" s="122" customFormat="1" ht="24" customHeight="1" x14ac:dyDescent="0.2">
      <c r="A2" s="591" t="s">
        <v>366</v>
      </c>
      <c r="B2" s="591" t="s">
        <v>417</v>
      </c>
      <c r="C2" s="618" t="s">
        <v>410</v>
      </c>
      <c r="D2" s="620"/>
      <c r="E2" s="665" t="s">
        <v>418</v>
      </c>
      <c r="F2" s="665"/>
      <c r="G2" s="665"/>
      <c r="H2" s="665"/>
      <c r="I2" s="618" t="s">
        <v>64</v>
      </c>
      <c r="J2" s="620"/>
      <c r="K2" s="666" t="s">
        <v>419</v>
      </c>
      <c r="L2" s="667"/>
    </row>
    <row r="3" spans="1:12" s="122" customFormat="1" ht="18" customHeight="1" x14ac:dyDescent="0.2">
      <c r="A3" s="613"/>
      <c r="B3" s="613"/>
      <c r="C3" s="654" t="s">
        <v>374</v>
      </c>
      <c r="D3" s="659" t="s">
        <v>375</v>
      </c>
      <c r="E3" s="618" t="s">
        <v>372</v>
      </c>
      <c r="F3" s="620"/>
      <c r="G3" s="618" t="s">
        <v>373</v>
      </c>
      <c r="H3" s="620"/>
      <c r="I3" s="591" t="s">
        <v>414</v>
      </c>
      <c r="J3" s="663" t="s">
        <v>156</v>
      </c>
      <c r="K3" s="654" t="s">
        <v>374</v>
      </c>
      <c r="L3" s="659" t="s">
        <v>420</v>
      </c>
    </row>
    <row r="4" spans="1:12" s="122" customFormat="1" ht="24" customHeight="1" x14ac:dyDescent="0.2">
      <c r="A4" s="592"/>
      <c r="B4" s="592"/>
      <c r="C4" s="655"/>
      <c r="D4" s="655"/>
      <c r="E4" s="304" t="s">
        <v>374</v>
      </c>
      <c r="F4" s="473" t="s">
        <v>375</v>
      </c>
      <c r="G4" s="304" t="s">
        <v>374</v>
      </c>
      <c r="H4" s="473" t="s">
        <v>375</v>
      </c>
      <c r="I4" s="592"/>
      <c r="J4" s="664"/>
      <c r="K4" s="655"/>
      <c r="L4" s="655"/>
    </row>
    <row r="5" spans="1:12" s="122" customFormat="1" ht="18" customHeight="1" x14ac:dyDescent="0.2">
      <c r="A5" s="209" t="s">
        <v>5</v>
      </c>
      <c r="B5" s="202">
        <v>243</v>
      </c>
      <c r="C5" s="227">
        <v>5499701</v>
      </c>
      <c r="D5" s="203">
        <v>38194.639670046003</v>
      </c>
      <c r="E5" s="227">
        <v>574634</v>
      </c>
      <c r="F5" s="203">
        <v>4082.9040757500002</v>
      </c>
      <c r="G5" s="227">
        <v>697331</v>
      </c>
      <c r="H5" s="203">
        <v>4960.9746944999997</v>
      </c>
      <c r="I5" s="227">
        <v>6771666</v>
      </c>
      <c r="J5" s="203">
        <v>47238.518439995998</v>
      </c>
      <c r="K5" s="203">
        <v>18715</v>
      </c>
      <c r="L5" s="203">
        <v>130.1528615</v>
      </c>
    </row>
    <row r="6" spans="1:12" s="122" customFormat="1" x14ac:dyDescent="0.2">
      <c r="A6" s="209" t="s">
        <v>6</v>
      </c>
      <c r="B6" s="202">
        <f t="shared" ref="B6:J6" si="0">SUM(B7:B18)</f>
        <v>40</v>
      </c>
      <c r="C6" s="227">
        <f t="shared" si="0"/>
        <v>403601</v>
      </c>
      <c r="D6" s="203">
        <f t="shared" si="0"/>
        <v>2847.1297182499993</v>
      </c>
      <c r="E6" s="227">
        <f t="shared" si="0"/>
        <v>122114</v>
      </c>
      <c r="F6" s="203">
        <f t="shared" si="0"/>
        <v>880.46499425000002</v>
      </c>
      <c r="G6" s="227">
        <f t="shared" si="0"/>
        <v>134383</v>
      </c>
      <c r="H6" s="203">
        <f t="shared" si="0"/>
        <v>955.87973699999998</v>
      </c>
      <c r="I6" s="227">
        <f t="shared" si="0"/>
        <v>660098</v>
      </c>
      <c r="J6" s="203">
        <f t="shared" si="0"/>
        <v>4683.4744495000004</v>
      </c>
      <c r="K6" s="203">
        <f>K8</f>
        <v>13537</v>
      </c>
      <c r="L6" s="203">
        <f>L8</f>
        <v>100.00719999999998</v>
      </c>
    </row>
    <row r="7" spans="1:12" s="122" customFormat="1" x14ac:dyDescent="0.2">
      <c r="A7" s="307">
        <v>43556</v>
      </c>
      <c r="B7" s="202">
        <v>18</v>
      </c>
      <c r="C7" s="227">
        <v>243494</v>
      </c>
      <c r="D7" s="203">
        <v>1704.5448562499996</v>
      </c>
      <c r="E7" s="227">
        <v>62239</v>
      </c>
      <c r="F7" s="203">
        <v>444.06508599999995</v>
      </c>
      <c r="G7" s="227">
        <v>90537</v>
      </c>
      <c r="H7" s="203">
        <v>631.72793875000002</v>
      </c>
      <c r="I7" s="227">
        <v>396270</v>
      </c>
      <c r="J7" s="203">
        <v>2780.3378810000004</v>
      </c>
      <c r="K7" s="203">
        <v>19412</v>
      </c>
      <c r="L7" s="203">
        <v>141.17953749999995</v>
      </c>
    </row>
    <row r="8" spans="1:12" s="122" customFormat="1" ht="18" customHeight="1" x14ac:dyDescent="0.2">
      <c r="A8" s="307">
        <v>43586</v>
      </c>
      <c r="B8" s="202">
        <v>22</v>
      </c>
      <c r="C8" s="227">
        <v>160107</v>
      </c>
      <c r="D8" s="203">
        <v>1142.5848619999997</v>
      </c>
      <c r="E8" s="227">
        <v>59875</v>
      </c>
      <c r="F8" s="203">
        <v>436.39990825000007</v>
      </c>
      <c r="G8" s="227">
        <v>43846</v>
      </c>
      <c r="H8" s="203">
        <v>324.15179825000001</v>
      </c>
      <c r="I8" s="227">
        <v>263828</v>
      </c>
      <c r="J8" s="203">
        <v>1903.1365685000001</v>
      </c>
      <c r="K8" s="203">
        <v>13537</v>
      </c>
      <c r="L8" s="203">
        <v>100.00719999999998</v>
      </c>
    </row>
    <row r="9" spans="1:12" s="125" customFormat="1" ht="14.25" customHeight="1" x14ac:dyDescent="0.2">
      <c r="A9" s="594" t="s">
        <v>846</v>
      </c>
      <c r="B9" s="594"/>
      <c r="C9" s="594"/>
      <c r="D9" s="594"/>
      <c r="E9" s="594"/>
      <c r="F9" s="594"/>
      <c r="G9" s="594"/>
      <c r="H9" s="594"/>
      <c r="I9" s="594"/>
      <c r="J9" s="594"/>
    </row>
    <row r="10" spans="1:12" s="125" customFormat="1" ht="13.5" customHeight="1" x14ac:dyDescent="0.2">
      <c r="A10" s="594" t="s">
        <v>177</v>
      </c>
      <c r="B10" s="594"/>
      <c r="C10" s="594"/>
      <c r="D10" s="594"/>
      <c r="E10" s="594"/>
      <c r="F10" s="594"/>
      <c r="G10" s="594"/>
      <c r="H10" s="594"/>
      <c r="I10" s="594"/>
      <c r="J10" s="594"/>
    </row>
    <row r="11" spans="1:12" s="125" customFormat="1" ht="27.6" customHeight="1" x14ac:dyDescent="0.2"/>
  </sheetData>
  <mergeCells count="17">
    <mergeCell ref="L3:L4"/>
    <mergeCell ref="A9:J9"/>
    <mergeCell ref="A1:L1"/>
    <mergeCell ref="A2:A4"/>
    <mergeCell ref="B2:B4"/>
    <mergeCell ref="C2:D2"/>
    <mergeCell ref="E2:H2"/>
    <mergeCell ref="I2:J2"/>
    <mergeCell ref="K2:L2"/>
    <mergeCell ref="C3:C4"/>
    <mergeCell ref="D3:D4"/>
    <mergeCell ref="E3:F3"/>
    <mergeCell ref="A10:J10"/>
    <mergeCell ref="G3:H3"/>
    <mergeCell ref="I3:I4"/>
    <mergeCell ref="J3:J4"/>
    <mergeCell ref="K3:K4"/>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zoomScaleNormal="100" workbookViewId="0">
      <selection activeCell="G8" sqref="G8"/>
    </sheetView>
  </sheetViews>
  <sheetFormatPr defaultColWidth="10.42578125" defaultRowHeight="15" x14ac:dyDescent="0.25"/>
  <cols>
    <col min="1" max="1" width="8.42578125" style="123" customWidth="1"/>
    <col min="2" max="5" width="10.42578125" style="123"/>
    <col min="6" max="6" width="8.42578125" style="123" customWidth="1"/>
    <col min="7" max="16384" width="10.42578125" style="123"/>
  </cols>
  <sheetData>
    <row r="1" spans="1:16" ht="15.75" customHeight="1" x14ac:dyDescent="0.25">
      <c r="A1" s="612" t="str">
        <f>'Data Summary'!$A$47</f>
        <v>Table 45:  Settlement Statistics of Currency Derivatives Segment</v>
      </c>
      <c r="B1" s="612"/>
      <c r="C1" s="612"/>
      <c r="D1" s="612"/>
      <c r="E1" s="612"/>
      <c r="F1" s="612"/>
      <c r="G1" s="612"/>
      <c r="H1" s="612"/>
      <c r="I1" s="612"/>
      <c r="J1" s="612"/>
      <c r="K1" s="612"/>
      <c r="L1" s="612"/>
      <c r="M1" s="612"/>
      <c r="N1" s="612"/>
      <c r="O1" s="612"/>
    </row>
    <row r="2" spans="1:16" ht="15.75" customHeight="1" x14ac:dyDescent="0.25">
      <c r="A2" s="642" t="s">
        <v>1025</v>
      </c>
      <c r="B2" s="642"/>
      <c r="C2" s="642"/>
      <c r="D2" s="642"/>
      <c r="E2" s="642"/>
      <c r="F2" s="642"/>
      <c r="G2" s="642"/>
      <c r="H2" s="642"/>
      <c r="I2" s="642"/>
      <c r="J2" s="642"/>
      <c r="K2" s="642"/>
      <c r="L2" s="642"/>
      <c r="M2" s="642"/>
      <c r="N2" s="642"/>
      <c r="O2" s="642"/>
      <c r="P2" s="642"/>
    </row>
    <row r="3" spans="1:16" s="122" customFormat="1" ht="18" customHeight="1" x14ac:dyDescent="0.2">
      <c r="A3" s="591" t="s">
        <v>366</v>
      </c>
      <c r="B3" s="618" t="s">
        <v>129</v>
      </c>
      <c r="C3" s="619"/>
      <c r="D3" s="619"/>
      <c r="E3" s="620"/>
      <c r="F3" s="581" t="s">
        <v>64</v>
      </c>
      <c r="G3" s="618" t="s">
        <v>130</v>
      </c>
      <c r="H3" s="619"/>
      <c r="I3" s="619"/>
      <c r="J3" s="620"/>
      <c r="K3" s="591" t="s">
        <v>64</v>
      </c>
      <c r="L3" s="618" t="s">
        <v>131</v>
      </c>
      <c r="M3" s="619"/>
      <c r="N3" s="619"/>
      <c r="O3" s="620"/>
      <c r="P3" s="581" t="s">
        <v>64</v>
      </c>
    </row>
    <row r="4" spans="1:16" s="122" customFormat="1" ht="27" customHeight="1" x14ac:dyDescent="0.2">
      <c r="A4" s="613"/>
      <c r="B4" s="589" t="s">
        <v>422</v>
      </c>
      <c r="C4" s="590"/>
      <c r="D4" s="618" t="s">
        <v>418</v>
      </c>
      <c r="E4" s="620"/>
      <c r="F4" s="582"/>
      <c r="G4" s="589" t="s">
        <v>422</v>
      </c>
      <c r="H4" s="590"/>
      <c r="I4" s="618" t="s">
        <v>418</v>
      </c>
      <c r="J4" s="620"/>
      <c r="K4" s="613"/>
      <c r="L4" s="589" t="s">
        <v>422</v>
      </c>
      <c r="M4" s="590"/>
      <c r="N4" s="618" t="s">
        <v>418</v>
      </c>
      <c r="O4" s="620"/>
      <c r="P4" s="582"/>
    </row>
    <row r="5" spans="1:16" s="122" customFormat="1" ht="27" customHeight="1" x14ac:dyDescent="0.2">
      <c r="A5" s="592"/>
      <c r="B5" s="304" t="s">
        <v>381</v>
      </c>
      <c r="C5" s="304" t="s">
        <v>382</v>
      </c>
      <c r="D5" s="304" t="s">
        <v>383</v>
      </c>
      <c r="E5" s="304" t="s">
        <v>384</v>
      </c>
      <c r="F5" s="583"/>
      <c r="G5" s="304" t="s">
        <v>381</v>
      </c>
      <c r="H5" s="304" t="s">
        <v>382</v>
      </c>
      <c r="I5" s="304" t="s">
        <v>383</v>
      </c>
      <c r="J5" s="304" t="s">
        <v>384</v>
      </c>
      <c r="K5" s="592"/>
      <c r="L5" s="304" t="s">
        <v>381</v>
      </c>
      <c r="M5" s="304" t="s">
        <v>382</v>
      </c>
      <c r="N5" s="304" t="s">
        <v>383</v>
      </c>
      <c r="O5" s="304" t="s">
        <v>384</v>
      </c>
      <c r="P5" s="583"/>
    </row>
    <row r="6" spans="1:16" s="122" customFormat="1" ht="18" customHeight="1" x14ac:dyDescent="0.2">
      <c r="A6" s="209" t="s">
        <v>5</v>
      </c>
      <c r="B6" s="308">
        <v>5970.05</v>
      </c>
      <c r="C6" s="308">
        <v>191.46</v>
      </c>
      <c r="D6" s="308">
        <v>3565.27</v>
      </c>
      <c r="E6" s="308">
        <v>154.97</v>
      </c>
      <c r="F6" s="203">
        <v>9881.75</v>
      </c>
      <c r="G6" s="308">
        <v>8260.4640170000002</v>
      </c>
      <c r="H6" s="308">
        <v>292.40324870000001</v>
      </c>
      <c r="I6" s="308">
        <v>1286.897823</v>
      </c>
      <c r="J6" s="308">
        <v>643.41508050000004</v>
      </c>
      <c r="K6" s="203">
        <v>10483.18017</v>
      </c>
      <c r="L6" s="308">
        <v>125.37568575</v>
      </c>
      <c r="M6" s="308">
        <v>6.8401983</v>
      </c>
      <c r="N6" s="308">
        <v>0.55596900000000005</v>
      </c>
      <c r="O6" s="308">
        <v>0.68199743999999995</v>
      </c>
      <c r="P6" s="203">
        <v>133.45385049000001</v>
      </c>
    </row>
    <row r="7" spans="1:16" s="122" customFormat="1" ht="18" customHeight="1" x14ac:dyDescent="0.2">
      <c r="A7" s="209" t="s">
        <v>6</v>
      </c>
      <c r="B7" s="308">
        <v>777.46</v>
      </c>
      <c r="C7" s="308">
        <v>18.869999999999997</v>
      </c>
      <c r="D7" s="308">
        <v>929.4</v>
      </c>
      <c r="E7" s="308">
        <v>15.42</v>
      </c>
      <c r="F7" s="203">
        <v>1741.15</v>
      </c>
      <c r="G7" s="308">
        <v>1133.7692216200003</v>
      </c>
      <c r="H7" s="308">
        <v>19.59532506</v>
      </c>
      <c r="I7" s="308">
        <v>207.40970775</v>
      </c>
      <c r="J7" s="308">
        <v>52.410263500000006</v>
      </c>
      <c r="K7" s="203">
        <f>SUM(G7:J7)</f>
        <v>1413.1845179300003</v>
      </c>
      <c r="L7" s="308">
        <v>24.56833125</v>
      </c>
      <c r="M7" s="308">
        <v>0.75627518999999999</v>
      </c>
      <c r="N7" s="308">
        <v>4.3813500000000005E-2</v>
      </c>
      <c r="O7" s="308">
        <v>1.0549000000000001E-3</v>
      </c>
      <c r="P7" s="203">
        <v>25.369474839999999</v>
      </c>
    </row>
    <row r="8" spans="1:16" s="122" customFormat="1" ht="18" customHeight="1" x14ac:dyDescent="0.2">
      <c r="A8" s="209" t="s">
        <v>70</v>
      </c>
      <c r="B8" s="308">
        <v>363.16</v>
      </c>
      <c r="C8" s="308">
        <v>6.08</v>
      </c>
      <c r="D8" s="308">
        <v>403.39</v>
      </c>
      <c r="E8" s="308">
        <v>6.8000000000000007</v>
      </c>
      <c r="F8" s="203">
        <v>779.43</v>
      </c>
      <c r="G8" s="308">
        <v>512.90147071000035</v>
      </c>
      <c r="H8" s="308">
        <v>6.4320210099999997</v>
      </c>
      <c r="I8" s="308">
        <v>102.97738625</v>
      </c>
      <c r="J8" s="308">
        <v>25.654562560000002</v>
      </c>
      <c r="K8" s="203">
        <f>SUM(G8:J8)</f>
        <v>647.96544053000036</v>
      </c>
      <c r="L8" s="308">
        <v>14.89</v>
      </c>
      <c r="M8" s="308">
        <v>0.22280343999999999</v>
      </c>
      <c r="N8" s="308">
        <v>1.5167750000000001E-2</v>
      </c>
      <c r="O8" s="308">
        <v>1.0549000000000001E-3</v>
      </c>
      <c r="P8" s="203">
        <v>15.12902609</v>
      </c>
    </row>
    <row r="9" spans="1:16" s="122" customFormat="1" ht="18" customHeight="1" x14ac:dyDescent="0.2">
      <c r="A9" s="209">
        <v>43586</v>
      </c>
      <c r="B9" s="308">
        <v>414.29999999999995</v>
      </c>
      <c r="C9" s="308">
        <v>12.79</v>
      </c>
      <c r="D9" s="308">
        <v>526.01</v>
      </c>
      <c r="E9" s="308">
        <v>8.6199999999999992</v>
      </c>
      <c r="F9" s="203">
        <v>961.72</v>
      </c>
      <c r="G9" s="308">
        <v>620.86775090999981</v>
      </c>
      <c r="H9" s="308">
        <v>13.163304050000002</v>
      </c>
      <c r="I9" s="308">
        <v>104.4323215</v>
      </c>
      <c r="J9" s="308">
        <v>26.755700940000004</v>
      </c>
      <c r="K9" s="203">
        <f>SUM(G9:J9)</f>
        <v>765.21907739999983</v>
      </c>
      <c r="L9" s="308">
        <v>9.6783312499999994</v>
      </c>
      <c r="M9" s="308">
        <v>0.53347175000000002</v>
      </c>
      <c r="N9" s="308">
        <v>2.8645750000000001E-2</v>
      </c>
      <c r="O9" s="308">
        <v>0</v>
      </c>
      <c r="P9" s="203">
        <v>10.240448750000001</v>
      </c>
    </row>
    <row r="10" spans="1:16" s="125" customFormat="1" ht="15" customHeight="1" x14ac:dyDescent="0.2">
      <c r="A10" s="594" t="s">
        <v>846</v>
      </c>
      <c r="B10" s="594"/>
      <c r="C10" s="594"/>
      <c r="D10" s="594"/>
      <c r="E10" s="594"/>
      <c r="F10" s="594"/>
      <c r="G10" s="594"/>
      <c r="H10" s="594"/>
      <c r="I10" s="594"/>
      <c r="J10" s="594"/>
      <c r="K10" s="594"/>
      <c r="L10" s="594"/>
      <c r="M10" s="594"/>
      <c r="N10" s="594"/>
      <c r="O10" s="594"/>
    </row>
    <row r="11" spans="1:16" s="125" customFormat="1" ht="13.5" customHeight="1" x14ac:dyDescent="0.2">
      <c r="A11" s="594" t="s">
        <v>123</v>
      </c>
      <c r="B11" s="594"/>
      <c r="C11" s="594"/>
      <c r="D11" s="594"/>
      <c r="E11" s="594"/>
      <c r="F11" s="594"/>
      <c r="G11" s="594"/>
      <c r="H11" s="594"/>
      <c r="I11" s="594"/>
      <c r="J11" s="594"/>
      <c r="K11" s="594"/>
      <c r="L11" s="594"/>
      <c r="M11" s="594"/>
      <c r="N11" s="594"/>
      <c r="O11" s="594"/>
    </row>
    <row r="12" spans="1:16" s="125" customFormat="1" ht="27.6" customHeight="1" x14ac:dyDescent="0.2"/>
  </sheetData>
  <mergeCells count="17">
    <mergeCell ref="A1:O1"/>
    <mergeCell ref="A3:A5"/>
    <mergeCell ref="B3:E3"/>
    <mergeCell ref="F3:F5"/>
    <mergeCell ref="G3:J3"/>
    <mergeCell ref="K3:K5"/>
    <mergeCell ref="L3:O3"/>
    <mergeCell ref="A2:P2"/>
    <mergeCell ref="A10:O10"/>
    <mergeCell ref="A11:O11"/>
    <mergeCell ref="P3:P5"/>
    <mergeCell ref="B4:C4"/>
    <mergeCell ref="D4:E4"/>
    <mergeCell ref="G4:H4"/>
    <mergeCell ref="I4:J4"/>
    <mergeCell ref="L4:M4"/>
    <mergeCell ref="N4:O4"/>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zoomScaleNormal="100" workbookViewId="0">
      <selection activeCell="H13" sqref="H13"/>
    </sheetView>
  </sheetViews>
  <sheetFormatPr defaultColWidth="8.5703125" defaultRowHeight="15" x14ac:dyDescent="0.25"/>
  <cols>
    <col min="1" max="1" width="10.42578125" style="123" customWidth="1"/>
    <col min="2" max="2" width="8.85546875" style="123" bestFit="1" customWidth="1"/>
    <col min="3" max="8" width="8.7109375" style="123" bestFit="1" customWidth="1"/>
    <col min="9" max="9" width="8.85546875" style="123" bestFit="1" customWidth="1"/>
    <col min="10" max="15" width="8.7109375" style="123" bestFit="1" customWidth="1"/>
    <col min="16" max="16384" width="8.5703125" style="123"/>
  </cols>
  <sheetData>
    <row r="1" spans="1:15" ht="15" customHeight="1" x14ac:dyDescent="0.25">
      <c r="A1" s="612" t="str">
        <f>'Data Summary'!$A$48</f>
        <v>Table 46:  Instrument-wise Turnover in Currency Derivative Segment of BSE</v>
      </c>
      <c r="B1" s="612"/>
      <c r="C1" s="612"/>
      <c r="D1" s="612"/>
      <c r="E1" s="612"/>
      <c r="F1" s="612"/>
      <c r="G1" s="612"/>
      <c r="H1" s="612"/>
      <c r="I1" s="612"/>
    </row>
    <row r="2" spans="1:15" s="122" customFormat="1" ht="18" customHeight="1" x14ac:dyDescent="0.2">
      <c r="A2" s="668" t="s">
        <v>124</v>
      </c>
      <c r="B2" s="670" t="s">
        <v>156</v>
      </c>
      <c r="C2" s="671"/>
      <c r="D2" s="671"/>
      <c r="E2" s="671"/>
      <c r="F2" s="671"/>
      <c r="G2" s="671"/>
      <c r="H2" s="672"/>
      <c r="I2" s="673" t="s">
        <v>423</v>
      </c>
      <c r="J2" s="671"/>
      <c r="K2" s="671"/>
      <c r="L2" s="671"/>
      <c r="M2" s="671"/>
      <c r="N2" s="671"/>
      <c r="O2" s="672"/>
    </row>
    <row r="3" spans="1:15" s="122" customFormat="1" ht="18" customHeight="1" x14ac:dyDescent="0.2">
      <c r="A3" s="669"/>
      <c r="B3" s="513" t="s">
        <v>424</v>
      </c>
      <c r="C3" s="513" t="s">
        <v>425</v>
      </c>
      <c r="D3" s="513" t="s">
        <v>426</v>
      </c>
      <c r="E3" s="513" t="s">
        <v>427</v>
      </c>
      <c r="F3" s="513" t="s">
        <v>428</v>
      </c>
      <c r="G3" s="513" t="s">
        <v>429</v>
      </c>
      <c r="H3" s="513" t="s">
        <v>430</v>
      </c>
      <c r="I3" s="513" t="s">
        <v>424</v>
      </c>
      <c r="J3" s="513" t="s">
        <v>425</v>
      </c>
      <c r="K3" s="513" t="s">
        <v>426</v>
      </c>
      <c r="L3" s="513" t="s">
        <v>427</v>
      </c>
      <c r="M3" s="513" t="s">
        <v>428</v>
      </c>
      <c r="N3" s="513" t="s">
        <v>429</v>
      </c>
      <c r="O3" s="513" t="s">
        <v>430</v>
      </c>
    </row>
    <row r="4" spans="1:15" s="122" customFormat="1" ht="18" customHeight="1" x14ac:dyDescent="0.2">
      <c r="A4" s="190" t="s">
        <v>5</v>
      </c>
      <c r="B4" s="131">
        <v>7336635.8687610002</v>
      </c>
      <c r="C4" s="501">
        <v>5354.2229065000001</v>
      </c>
      <c r="D4" s="501">
        <v>4940.5533779999996</v>
      </c>
      <c r="E4" s="501">
        <v>1322.2592179999999</v>
      </c>
      <c r="F4" s="501">
        <v>2712.996169771</v>
      </c>
      <c r="G4" s="501">
        <v>1275.3716501609999</v>
      </c>
      <c r="H4" s="501">
        <v>33.114100000000001</v>
      </c>
      <c r="I4" s="131">
        <v>709594</v>
      </c>
      <c r="J4" s="501">
        <v>873</v>
      </c>
      <c r="K4" s="501">
        <v>1332</v>
      </c>
      <c r="L4" s="501">
        <v>354</v>
      </c>
      <c r="M4" s="514">
        <v>0</v>
      </c>
      <c r="N4" s="514">
        <v>9</v>
      </c>
      <c r="O4" s="514">
        <v>0</v>
      </c>
    </row>
    <row r="5" spans="1:15" s="122" customFormat="1" ht="18" customHeight="1" x14ac:dyDescent="0.2">
      <c r="A5" s="190" t="s">
        <v>6</v>
      </c>
      <c r="B5" s="131">
        <v>1232514.39356675</v>
      </c>
      <c r="C5" s="501">
        <v>100.08982825</v>
      </c>
      <c r="D5" s="501">
        <v>276.10808900000001</v>
      </c>
      <c r="E5" s="501">
        <v>142.81940599999999</v>
      </c>
      <c r="F5" s="501">
        <v>0</v>
      </c>
      <c r="G5" s="501">
        <v>0</v>
      </c>
      <c r="H5" s="501">
        <v>0</v>
      </c>
      <c r="I5" s="131">
        <v>548910</v>
      </c>
      <c r="J5" s="501">
        <v>517</v>
      </c>
      <c r="K5" s="501">
        <v>316</v>
      </c>
      <c r="L5" s="501">
        <v>7882</v>
      </c>
      <c r="M5" s="514">
        <v>0</v>
      </c>
      <c r="N5" s="514">
        <v>0</v>
      </c>
      <c r="O5" s="514">
        <v>0</v>
      </c>
    </row>
    <row r="6" spans="1:15" s="122" customFormat="1" ht="18" customHeight="1" x14ac:dyDescent="0.2">
      <c r="A6" s="156" t="s">
        <v>70</v>
      </c>
      <c r="B6" s="131">
        <v>580467.68183200003</v>
      </c>
      <c r="C6" s="501">
        <v>46.114838749999997</v>
      </c>
      <c r="D6" s="501">
        <v>138.95065124999999</v>
      </c>
      <c r="E6" s="501">
        <v>39.54</v>
      </c>
      <c r="F6" s="501">
        <v>0</v>
      </c>
      <c r="G6" s="501">
        <v>0</v>
      </c>
      <c r="H6" s="501">
        <v>0</v>
      </c>
      <c r="I6" s="131">
        <v>1275372</v>
      </c>
      <c r="J6" s="501">
        <v>308</v>
      </c>
      <c r="K6" s="501">
        <v>946</v>
      </c>
      <c r="L6" s="501">
        <v>403</v>
      </c>
      <c r="M6" s="514">
        <v>0</v>
      </c>
      <c r="N6" s="514">
        <v>0</v>
      </c>
      <c r="O6" s="514">
        <v>0</v>
      </c>
    </row>
    <row r="7" spans="1:15" s="122" customFormat="1" ht="18" customHeight="1" x14ac:dyDescent="0.2">
      <c r="A7" s="188">
        <v>43586</v>
      </c>
      <c r="B7" s="131">
        <v>652046.71173474996</v>
      </c>
      <c r="C7" s="501">
        <v>53.9749895</v>
      </c>
      <c r="D7" s="501">
        <v>137.15743775000001</v>
      </c>
      <c r="E7" s="501">
        <v>103.27940599999999</v>
      </c>
      <c r="F7" s="501">
        <v>0</v>
      </c>
      <c r="G7" s="501">
        <v>0</v>
      </c>
      <c r="H7" s="501">
        <v>0</v>
      </c>
      <c r="I7" s="131">
        <v>548910</v>
      </c>
      <c r="J7" s="501">
        <v>517</v>
      </c>
      <c r="K7" s="501">
        <v>316</v>
      </c>
      <c r="L7" s="501">
        <v>7882</v>
      </c>
      <c r="M7" s="514">
        <v>0</v>
      </c>
      <c r="N7" s="514">
        <v>0</v>
      </c>
      <c r="O7" s="514">
        <v>0</v>
      </c>
    </row>
    <row r="8" spans="1:15" s="189" customFormat="1" ht="14.25" customHeight="1" x14ac:dyDescent="0.2">
      <c r="A8" s="594" t="s">
        <v>431</v>
      </c>
      <c r="B8" s="594"/>
      <c r="C8" s="594"/>
      <c r="D8" s="594"/>
      <c r="E8" s="594"/>
      <c r="F8" s="594"/>
      <c r="G8" s="594"/>
      <c r="H8" s="594"/>
      <c r="I8" s="594"/>
    </row>
    <row r="9" spans="1:15" s="189" customFormat="1" ht="13.5" customHeight="1" x14ac:dyDescent="0.2">
      <c r="A9" s="594" t="s">
        <v>432</v>
      </c>
      <c r="B9" s="594"/>
      <c r="C9" s="594"/>
      <c r="D9" s="594"/>
      <c r="E9" s="594"/>
      <c r="F9" s="594"/>
      <c r="G9" s="594"/>
      <c r="H9" s="594"/>
      <c r="I9" s="594"/>
    </row>
    <row r="10" spans="1:15" s="189" customFormat="1" ht="13.5" customHeight="1" x14ac:dyDescent="0.2">
      <c r="A10" s="594" t="s">
        <v>433</v>
      </c>
      <c r="B10" s="594"/>
      <c r="C10" s="594"/>
      <c r="D10" s="594"/>
      <c r="E10" s="594"/>
      <c r="F10" s="594"/>
      <c r="G10" s="594"/>
      <c r="H10" s="594"/>
      <c r="I10" s="594"/>
    </row>
    <row r="11" spans="1:15" s="189" customFormat="1" ht="13.5" customHeight="1" x14ac:dyDescent="0.2">
      <c r="A11" s="594" t="s">
        <v>846</v>
      </c>
      <c r="B11" s="594"/>
      <c r="C11" s="594"/>
      <c r="D11" s="594"/>
      <c r="E11" s="594"/>
      <c r="F11" s="594"/>
      <c r="G11" s="594"/>
      <c r="H11" s="594"/>
      <c r="I11" s="594"/>
    </row>
    <row r="12" spans="1:15" s="189" customFormat="1" ht="13.5" customHeight="1" x14ac:dyDescent="0.2">
      <c r="A12" s="594" t="s">
        <v>416</v>
      </c>
      <c r="B12" s="594"/>
      <c r="C12" s="594"/>
      <c r="D12" s="594"/>
      <c r="E12" s="594"/>
      <c r="F12" s="594"/>
      <c r="G12" s="594"/>
      <c r="H12" s="594"/>
      <c r="I12" s="594"/>
    </row>
    <row r="13" spans="1:15" s="125" customFormat="1" ht="28.35" customHeight="1" x14ac:dyDescent="0.2"/>
  </sheetData>
  <mergeCells count="9">
    <mergeCell ref="A10:I10"/>
    <mergeCell ref="A11:I11"/>
    <mergeCell ref="A12:I12"/>
    <mergeCell ref="A1:I1"/>
    <mergeCell ref="A2:A3"/>
    <mergeCell ref="B2:H2"/>
    <mergeCell ref="I2:O2"/>
    <mergeCell ref="A8:I8"/>
    <mergeCell ref="A9:I9"/>
  </mergeCell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zoomScaleNormal="100" workbookViewId="0">
      <selection activeCell="G14" sqref="G14"/>
    </sheetView>
  </sheetViews>
  <sheetFormatPr defaultColWidth="9" defaultRowHeight="15" x14ac:dyDescent="0.25"/>
  <cols>
    <col min="1" max="16384" width="9" style="123"/>
  </cols>
  <sheetData>
    <row r="1" spans="1:15" ht="18.75" customHeight="1" x14ac:dyDescent="0.25">
      <c r="A1" s="612" t="str">
        <f>'Data Summary'!$A$49</f>
        <v>Table 47:  Instrument-wise Turnover in Currency Derivatives of NSE</v>
      </c>
      <c r="B1" s="612"/>
      <c r="C1" s="612"/>
      <c r="D1" s="612"/>
      <c r="E1" s="612"/>
      <c r="F1" s="612"/>
      <c r="G1" s="612"/>
    </row>
    <row r="2" spans="1:15" s="122" customFormat="1" ht="18" customHeight="1" x14ac:dyDescent="0.2">
      <c r="A2" s="660" t="s">
        <v>82</v>
      </c>
      <c r="B2" s="674" t="s">
        <v>434</v>
      </c>
      <c r="C2" s="675"/>
      <c r="D2" s="675"/>
      <c r="E2" s="675"/>
      <c r="F2" s="675"/>
      <c r="G2" s="675"/>
      <c r="H2" s="676"/>
      <c r="I2" s="677" t="s">
        <v>435</v>
      </c>
      <c r="J2" s="675"/>
      <c r="K2" s="675"/>
      <c r="L2" s="675"/>
      <c r="M2" s="675"/>
      <c r="N2" s="675"/>
      <c r="O2" s="676"/>
    </row>
    <row r="3" spans="1:15" s="122" customFormat="1" ht="18" customHeight="1" x14ac:dyDescent="0.2">
      <c r="A3" s="662"/>
      <c r="B3" s="515" t="s">
        <v>424</v>
      </c>
      <c r="C3" s="515" t="s">
        <v>425</v>
      </c>
      <c r="D3" s="515" t="s">
        <v>426</v>
      </c>
      <c r="E3" s="515" t="s">
        <v>427</v>
      </c>
      <c r="F3" s="515" t="s">
        <v>428</v>
      </c>
      <c r="G3" s="515" t="s">
        <v>429</v>
      </c>
      <c r="H3" s="515" t="s">
        <v>430</v>
      </c>
      <c r="I3" s="515" t="s">
        <v>424</v>
      </c>
      <c r="J3" s="515" t="s">
        <v>425</v>
      </c>
      <c r="K3" s="515" t="s">
        <v>426</v>
      </c>
      <c r="L3" s="515" t="s">
        <v>427</v>
      </c>
      <c r="M3" s="515" t="s">
        <v>428</v>
      </c>
      <c r="N3" s="515" t="s">
        <v>429</v>
      </c>
      <c r="O3" s="515" t="s">
        <v>430</v>
      </c>
    </row>
    <row r="4" spans="1:15" s="122" customFormat="1" ht="18" customHeight="1" x14ac:dyDescent="0.2">
      <c r="A4" s="190" t="s">
        <v>5</v>
      </c>
      <c r="B4" s="504">
        <v>7978933.7980000004</v>
      </c>
      <c r="C4" s="504">
        <v>176061.2689</v>
      </c>
      <c r="D4" s="504">
        <v>226751.72229999999</v>
      </c>
      <c r="E4" s="507">
        <v>59106.090649999998</v>
      </c>
      <c r="F4" s="507">
        <v>42661.716330000003</v>
      </c>
      <c r="G4" s="507">
        <v>33643.821510000002</v>
      </c>
      <c r="H4" s="507">
        <v>1192.8246280000001</v>
      </c>
      <c r="I4" s="504">
        <v>4059718</v>
      </c>
      <c r="J4" s="507">
        <v>50501</v>
      </c>
      <c r="K4" s="507">
        <v>37698</v>
      </c>
      <c r="L4" s="507">
        <v>21801</v>
      </c>
      <c r="M4" s="507">
        <v>33796</v>
      </c>
      <c r="N4" s="507">
        <v>1978</v>
      </c>
      <c r="O4" s="510">
        <v>74</v>
      </c>
    </row>
    <row r="5" spans="1:15" s="122" customFormat="1" ht="18" customHeight="1" x14ac:dyDescent="0.2">
      <c r="A5" s="190" t="s">
        <v>6</v>
      </c>
      <c r="B5" s="504">
        <v>1313272.7388320002</v>
      </c>
      <c r="C5" s="507">
        <v>21453.687981999999</v>
      </c>
      <c r="D5" s="507">
        <v>46322.692731999996</v>
      </c>
      <c r="E5" s="507">
        <v>9749.4732924999989</v>
      </c>
      <c r="F5" s="507">
        <v>1938.7170480568338</v>
      </c>
      <c r="G5" s="507">
        <v>1854.2603348848761</v>
      </c>
      <c r="H5" s="507">
        <v>22.828549265300001</v>
      </c>
      <c r="I5" s="504">
        <v>3177157</v>
      </c>
      <c r="J5" s="507">
        <v>52409</v>
      </c>
      <c r="K5" s="507">
        <v>62720</v>
      </c>
      <c r="L5" s="507">
        <v>53150</v>
      </c>
      <c r="M5" s="507">
        <v>52551</v>
      </c>
      <c r="N5" s="507">
        <v>10629</v>
      </c>
      <c r="O5" s="510">
        <v>331</v>
      </c>
    </row>
    <row r="6" spans="1:15" s="122" customFormat="1" ht="18" customHeight="1" x14ac:dyDescent="0.2">
      <c r="A6" s="156" t="s">
        <v>70</v>
      </c>
      <c r="B6" s="504">
        <v>673980.51928500005</v>
      </c>
      <c r="C6" s="507">
        <v>10092.26058525</v>
      </c>
      <c r="D6" s="507">
        <v>21981.229735749999</v>
      </c>
      <c r="E6" s="507">
        <v>3519.8797585000002</v>
      </c>
      <c r="F6" s="507">
        <v>897.44538037900395</v>
      </c>
      <c r="G6" s="507">
        <v>872.66994837898199</v>
      </c>
      <c r="H6" s="507">
        <v>11.079928536600001</v>
      </c>
      <c r="I6" s="504">
        <v>4911962</v>
      </c>
      <c r="J6" s="507">
        <v>49395</v>
      </c>
      <c r="K6" s="507">
        <v>32413</v>
      </c>
      <c r="L6" s="507">
        <v>23666</v>
      </c>
      <c r="M6" s="507">
        <v>42550</v>
      </c>
      <c r="N6" s="507">
        <v>2631</v>
      </c>
      <c r="O6" s="510">
        <v>64</v>
      </c>
    </row>
    <row r="7" spans="1:15" s="122" customFormat="1" ht="18" customHeight="1" x14ac:dyDescent="0.2">
      <c r="A7" s="188">
        <v>43586</v>
      </c>
      <c r="B7" s="504">
        <v>639292.21954700002</v>
      </c>
      <c r="C7" s="507">
        <v>11361.427396749999</v>
      </c>
      <c r="D7" s="507">
        <v>24341.46299625</v>
      </c>
      <c r="E7" s="507">
        <v>6229.5935339999996</v>
      </c>
      <c r="F7" s="507">
        <v>1041.27166767783</v>
      </c>
      <c r="G7" s="507">
        <v>981.590386505894</v>
      </c>
      <c r="H7" s="507">
        <v>11.748620728700001</v>
      </c>
      <c r="I7" s="504">
        <v>3177157</v>
      </c>
      <c r="J7" s="507">
        <v>52409</v>
      </c>
      <c r="K7" s="507">
        <v>62720</v>
      </c>
      <c r="L7" s="507">
        <v>53150</v>
      </c>
      <c r="M7" s="507">
        <v>52551</v>
      </c>
      <c r="N7" s="507">
        <v>10629</v>
      </c>
      <c r="O7" s="510">
        <v>331</v>
      </c>
    </row>
    <row r="8" spans="1:15" s="125" customFormat="1" ht="14.25" customHeight="1" x14ac:dyDescent="0.2">
      <c r="A8" s="575" t="s">
        <v>436</v>
      </c>
      <c r="B8" s="575"/>
      <c r="C8" s="575"/>
      <c r="D8" s="575"/>
      <c r="E8" s="575"/>
      <c r="F8" s="575"/>
      <c r="G8" s="575"/>
      <c r="H8" s="575"/>
      <c r="I8" s="575"/>
    </row>
    <row r="9" spans="1:15" s="125" customFormat="1" ht="13.5" customHeight="1" x14ac:dyDescent="0.2">
      <c r="A9" s="575" t="s">
        <v>437</v>
      </c>
      <c r="B9" s="575"/>
      <c r="C9" s="575"/>
      <c r="D9" s="575"/>
      <c r="E9" s="575"/>
      <c r="F9" s="575"/>
      <c r="G9" s="575"/>
      <c r="H9" s="575"/>
      <c r="I9" s="575"/>
    </row>
    <row r="10" spans="1:15" s="125" customFormat="1" ht="13.5" customHeight="1" x14ac:dyDescent="0.2">
      <c r="A10" s="575" t="s">
        <v>846</v>
      </c>
      <c r="B10" s="575"/>
      <c r="C10" s="575"/>
      <c r="D10" s="575"/>
      <c r="E10" s="575"/>
      <c r="F10" s="575"/>
      <c r="G10" s="575"/>
      <c r="H10" s="575"/>
      <c r="I10" s="575"/>
    </row>
    <row r="11" spans="1:15" s="125" customFormat="1" ht="13.5" customHeight="1" x14ac:dyDescent="0.2">
      <c r="A11" s="575" t="s">
        <v>276</v>
      </c>
      <c r="B11" s="575"/>
      <c r="C11" s="575"/>
      <c r="D11" s="575"/>
      <c r="E11" s="575"/>
      <c r="F11" s="575"/>
      <c r="G11" s="575"/>
      <c r="H11" s="575"/>
      <c r="I11" s="575"/>
    </row>
    <row r="12" spans="1:15" s="125" customFormat="1" ht="24.6" customHeight="1" x14ac:dyDescent="0.2"/>
  </sheetData>
  <mergeCells count="8">
    <mergeCell ref="A10:I10"/>
    <mergeCell ref="A11:I11"/>
    <mergeCell ref="A1:G1"/>
    <mergeCell ref="A2:A3"/>
    <mergeCell ref="B2:H2"/>
    <mergeCell ref="I2:O2"/>
    <mergeCell ref="A8:I8"/>
    <mergeCell ref="A9:I9"/>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zoomScaleNormal="100" workbookViewId="0">
      <selection activeCell="B3" sqref="B3"/>
    </sheetView>
  </sheetViews>
  <sheetFormatPr defaultColWidth="8.42578125" defaultRowHeight="15" x14ac:dyDescent="0.25"/>
  <cols>
    <col min="1" max="12" width="8.42578125" style="123"/>
    <col min="13" max="13" width="9.140625" style="123" customWidth="1"/>
    <col min="14" max="16384" width="8.42578125" style="123"/>
  </cols>
  <sheetData>
    <row r="1" spans="1:15" ht="18.75" customHeight="1" x14ac:dyDescent="0.25">
      <c r="A1" s="612" t="str">
        <f>'Data Summary'!$A$50</f>
        <v>Table 48:  Instrument-wise Turnover in Currency Derivative Segment of MSEI</v>
      </c>
      <c r="B1" s="612"/>
      <c r="C1" s="612"/>
      <c r="D1" s="612"/>
      <c r="E1" s="612"/>
      <c r="F1" s="612"/>
      <c r="G1" s="612"/>
    </row>
    <row r="2" spans="1:15" s="122" customFormat="1" ht="27" customHeight="1" x14ac:dyDescent="0.2">
      <c r="A2" s="678" t="s">
        <v>82</v>
      </c>
      <c r="B2" s="679" t="s">
        <v>1026</v>
      </c>
      <c r="C2" s="679"/>
      <c r="D2" s="679"/>
      <c r="E2" s="679"/>
      <c r="F2" s="679"/>
      <c r="G2" s="679"/>
      <c r="H2" s="679"/>
      <c r="I2" s="679" t="s">
        <v>438</v>
      </c>
      <c r="J2" s="679"/>
      <c r="K2" s="679"/>
      <c r="L2" s="679"/>
      <c r="M2" s="679"/>
      <c r="N2" s="679"/>
      <c r="O2" s="679"/>
    </row>
    <row r="3" spans="1:15" s="122" customFormat="1" ht="27.75" customHeight="1" x14ac:dyDescent="0.2">
      <c r="A3" s="678"/>
      <c r="B3" s="516" t="s">
        <v>424</v>
      </c>
      <c r="C3" s="516" t="s">
        <v>425</v>
      </c>
      <c r="D3" s="516" t="s">
        <v>426</v>
      </c>
      <c r="E3" s="516" t="s">
        <v>427</v>
      </c>
      <c r="F3" s="516" t="s">
        <v>428</v>
      </c>
      <c r="G3" s="516" t="s">
        <v>429</v>
      </c>
      <c r="H3" s="516" t="s">
        <v>430</v>
      </c>
      <c r="I3" s="516" t="s">
        <v>424</v>
      </c>
      <c r="J3" s="516" t="s">
        <v>425</v>
      </c>
      <c r="K3" s="516" t="s">
        <v>426</v>
      </c>
      <c r="L3" s="516" t="s">
        <v>427</v>
      </c>
      <c r="M3" s="516" t="s">
        <v>428</v>
      </c>
      <c r="N3" s="516" t="s">
        <v>429</v>
      </c>
      <c r="O3" s="516" t="s">
        <v>430</v>
      </c>
    </row>
    <row r="4" spans="1:15" s="122" customFormat="1" ht="18" customHeight="1" x14ac:dyDescent="0.2">
      <c r="A4" s="517" t="s">
        <v>5</v>
      </c>
      <c r="B4" s="518">
        <v>45388.394358750025</v>
      </c>
      <c r="C4" s="518">
        <v>682.56191224999998</v>
      </c>
      <c r="D4" s="518">
        <v>1144.1230632500003</v>
      </c>
      <c r="E4" s="518">
        <v>21.812766999999997</v>
      </c>
      <c r="F4" s="518">
        <v>1.6082799439999997</v>
      </c>
      <c r="G4" s="518">
        <v>1.8059051561999998E-2</v>
      </c>
      <c r="H4" s="518">
        <v>0</v>
      </c>
      <c r="I4" s="518">
        <v>18649</v>
      </c>
      <c r="J4" s="518">
        <v>53</v>
      </c>
      <c r="K4" s="518">
        <v>7</v>
      </c>
      <c r="L4" s="518">
        <v>6</v>
      </c>
      <c r="M4" s="518">
        <v>0</v>
      </c>
      <c r="N4" s="518">
        <v>0</v>
      </c>
      <c r="O4" s="518">
        <v>0</v>
      </c>
    </row>
    <row r="5" spans="1:15" s="122" customFormat="1" ht="12.75" x14ac:dyDescent="0.2">
      <c r="A5" s="517" t="s">
        <v>6</v>
      </c>
      <c r="B5" s="518">
        <f>SUM(B6:B17)</f>
        <v>4256.1723795000016</v>
      </c>
      <c r="C5" s="518">
        <f t="shared" ref="C5:H5" si="0">SUM(C6:C17)</f>
        <v>198.18025699999993</v>
      </c>
      <c r="D5" s="518">
        <f t="shared" si="0"/>
        <v>227.23655600000026</v>
      </c>
      <c r="E5" s="518">
        <f t="shared" si="0"/>
        <v>1.885257</v>
      </c>
      <c r="F5" s="518">
        <f t="shared" si="0"/>
        <v>0</v>
      </c>
      <c r="G5" s="518">
        <f t="shared" si="0"/>
        <v>0</v>
      </c>
      <c r="H5" s="518">
        <f t="shared" si="0"/>
        <v>0</v>
      </c>
      <c r="I5" s="518">
        <v>9714</v>
      </c>
      <c r="J5" s="518">
        <v>2034</v>
      </c>
      <c r="K5" s="518">
        <v>1745</v>
      </c>
      <c r="L5" s="518">
        <v>44</v>
      </c>
      <c r="M5" s="518">
        <f t="shared" ref="M5:O5" si="1">M6</f>
        <v>0</v>
      </c>
      <c r="N5" s="518">
        <f t="shared" si="1"/>
        <v>0</v>
      </c>
      <c r="O5" s="518">
        <f t="shared" si="1"/>
        <v>0</v>
      </c>
    </row>
    <row r="6" spans="1:15" s="122" customFormat="1" ht="12.75" x14ac:dyDescent="0.2">
      <c r="A6" s="519" t="s">
        <v>70</v>
      </c>
      <c r="B6" s="518">
        <v>2659.6614300000024</v>
      </c>
      <c r="C6" s="518">
        <v>60.362018249999998</v>
      </c>
      <c r="D6" s="518">
        <v>59.801301249999995</v>
      </c>
      <c r="E6" s="518">
        <v>0.51313150000000007</v>
      </c>
      <c r="F6" s="518">
        <v>0</v>
      </c>
      <c r="G6" s="518">
        <v>0</v>
      </c>
      <c r="H6" s="518">
        <v>0</v>
      </c>
      <c r="I6" s="518">
        <v>16184</v>
      </c>
      <c r="J6" s="518">
        <v>1593</v>
      </c>
      <c r="K6" s="518">
        <v>1629</v>
      </c>
      <c r="L6" s="518">
        <v>6</v>
      </c>
      <c r="M6" s="518">
        <v>0</v>
      </c>
      <c r="N6" s="518">
        <v>0</v>
      </c>
      <c r="O6" s="518">
        <v>0</v>
      </c>
    </row>
    <row r="7" spans="1:15" s="122" customFormat="1" ht="12.75" x14ac:dyDescent="0.2">
      <c r="A7" s="520">
        <v>43586</v>
      </c>
      <c r="B7" s="518">
        <v>1596.5109494999997</v>
      </c>
      <c r="C7" s="518">
        <v>137.81823874999992</v>
      </c>
      <c r="D7" s="518">
        <v>167.43525475000027</v>
      </c>
      <c r="E7" s="518">
        <v>1.3721254999999999</v>
      </c>
      <c r="F7" s="518">
        <v>0</v>
      </c>
      <c r="G7" s="518">
        <v>0</v>
      </c>
      <c r="H7" s="518">
        <v>0</v>
      </c>
      <c r="I7" s="518">
        <v>9714</v>
      </c>
      <c r="J7" s="518">
        <v>2034</v>
      </c>
      <c r="K7" s="518">
        <v>1745</v>
      </c>
      <c r="L7" s="518">
        <v>44</v>
      </c>
      <c r="M7" s="518">
        <v>0</v>
      </c>
      <c r="N7" s="518">
        <v>0</v>
      </c>
      <c r="O7" s="518">
        <v>0</v>
      </c>
    </row>
    <row r="8" spans="1:15" s="189" customFormat="1" ht="14.25" customHeight="1" x14ac:dyDescent="0.2">
      <c r="A8" s="575" t="s">
        <v>439</v>
      </c>
      <c r="B8" s="575"/>
      <c r="C8" s="575"/>
      <c r="D8" s="575"/>
      <c r="E8" s="575"/>
      <c r="F8" s="575"/>
      <c r="G8" s="575"/>
      <c r="H8" s="575"/>
      <c r="I8" s="575"/>
    </row>
    <row r="9" spans="1:15" s="189" customFormat="1" ht="13.5" customHeight="1" x14ac:dyDescent="0.2">
      <c r="A9" s="575" t="s">
        <v>440</v>
      </c>
      <c r="B9" s="575"/>
      <c r="C9" s="575"/>
      <c r="D9" s="575"/>
      <c r="E9" s="575"/>
      <c r="F9" s="575"/>
      <c r="G9" s="575"/>
      <c r="H9" s="575"/>
      <c r="I9" s="575"/>
    </row>
    <row r="10" spans="1:15" s="189" customFormat="1" ht="13.5" customHeight="1" x14ac:dyDescent="0.2">
      <c r="A10" s="575" t="s">
        <v>846</v>
      </c>
      <c r="B10" s="575"/>
      <c r="C10" s="575"/>
      <c r="D10" s="575"/>
      <c r="E10" s="575"/>
      <c r="F10" s="575"/>
      <c r="G10" s="575"/>
      <c r="H10" s="575"/>
      <c r="I10" s="575"/>
    </row>
    <row r="11" spans="1:15" s="189" customFormat="1" ht="13.5" customHeight="1" x14ac:dyDescent="0.2">
      <c r="A11" s="575" t="s">
        <v>177</v>
      </c>
      <c r="B11" s="575"/>
      <c r="C11" s="575"/>
      <c r="D11" s="575"/>
      <c r="E11" s="575"/>
      <c r="F11" s="575"/>
      <c r="G11" s="575"/>
      <c r="H11" s="575"/>
      <c r="I11" s="575"/>
    </row>
    <row r="12" spans="1:15" s="125" customFormat="1" ht="24.6" customHeight="1" x14ac:dyDescent="0.2"/>
  </sheetData>
  <mergeCells count="8">
    <mergeCell ref="A10:I10"/>
    <mergeCell ref="A11:I11"/>
    <mergeCell ref="A1:G1"/>
    <mergeCell ref="A2:A3"/>
    <mergeCell ref="A8:I8"/>
    <mergeCell ref="A9:I9"/>
    <mergeCell ref="B2:H2"/>
    <mergeCell ref="I2:O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zoomScaleNormal="100" workbookViewId="0">
      <selection activeCell="I9" sqref="I9"/>
    </sheetView>
  </sheetViews>
  <sheetFormatPr defaultRowHeight="15" x14ac:dyDescent="0.25"/>
  <cols>
    <col min="1" max="1" width="14.7109375" style="123" bestFit="1" customWidth="1"/>
    <col min="2" max="2" width="11.5703125" style="123" bestFit="1" customWidth="1"/>
    <col min="3" max="3" width="12.140625" style="123" bestFit="1" customWidth="1"/>
    <col min="4" max="4" width="12" style="123" bestFit="1" customWidth="1"/>
    <col min="5" max="5" width="12.140625" style="123" bestFit="1" customWidth="1"/>
    <col min="6" max="6" width="11.28515625" style="123" bestFit="1" customWidth="1"/>
    <col min="7" max="7" width="12.140625" style="123" bestFit="1" customWidth="1"/>
    <col min="8" max="8" width="9" style="123" bestFit="1" customWidth="1"/>
    <col min="9" max="9" width="11.7109375" style="123" bestFit="1" customWidth="1"/>
    <col min="10" max="10" width="4.7109375" style="123" bestFit="1" customWidth="1"/>
    <col min="11" max="16384" width="9.140625" style="123"/>
  </cols>
  <sheetData>
    <row r="1" spans="1:9" ht="13.5" customHeight="1" x14ac:dyDescent="0.25">
      <c r="A1" s="576" t="str">
        <f>'Data Summary'!$A$6</f>
        <v>Table 4:  Substantial Acquisition of Shares and Takeovers</v>
      </c>
      <c r="B1" s="576"/>
      <c r="C1" s="576"/>
      <c r="D1" s="576"/>
      <c r="E1" s="576"/>
      <c r="F1" s="576"/>
      <c r="G1" s="576"/>
      <c r="H1" s="576"/>
      <c r="I1" s="576"/>
    </row>
    <row r="2" spans="1:9" s="125" customFormat="1" ht="20.25" customHeight="1" x14ac:dyDescent="0.25">
      <c r="A2" s="581" t="s">
        <v>61</v>
      </c>
      <c r="B2" s="584" t="s">
        <v>62</v>
      </c>
      <c r="C2" s="585"/>
      <c r="D2" s="585"/>
      <c r="E2" s="585"/>
      <c r="F2" s="585"/>
      <c r="G2" s="585"/>
      <c r="H2" s="585"/>
      <c r="I2" s="586"/>
    </row>
    <row r="3" spans="1:9" s="125" customFormat="1" ht="18" customHeight="1" x14ac:dyDescent="0.25">
      <c r="A3" s="582"/>
      <c r="B3" s="584" t="s">
        <v>63</v>
      </c>
      <c r="C3" s="585"/>
      <c r="D3" s="585"/>
      <c r="E3" s="585"/>
      <c r="F3" s="585"/>
      <c r="G3" s="586"/>
      <c r="H3" s="587" t="s">
        <v>64</v>
      </c>
      <c r="I3" s="588"/>
    </row>
    <row r="4" spans="1:9" s="125" customFormat="1" ht="26.25" customHeight="1" x14ac:dyDescent="0.2">
      <c r="A4" s="582"/>
      <c r="B4" s="589" t="s">
        <v>65</v>
      </c>
      <c r="C4" s="590"/>
      <c r="D4" s="589" t="s">
        <v>66</v>
      </c>
      <c r="E4" s="590"/>
      <c r="F4" s="589" t="s">
        <v>67</v>
      </c>
      <c r="G4" s="590"/>
      <c r="H4" s="591" t="s">
        <v>68</v>
      </c>
      <c r="I4" s="593" t="s">
        <v>69</v>
      </c>
    </row>
    <row r="5" spans="1:9" s="125" customFormat="1" ht="27.75" customHeight="1" x14ac:dyDescent="0.2">
      <c r="A5" s="583"/>
      <c r="B5" s="124" t="s">
        <v>68</v>
      </c>
      <c r="C5" s="7" t="s">
        <v>69</v>
      </c>
      <c r="D5" s="124" t="s">
        <v>68</v>
      </c>
      <c r="E5" s="7" t="s">
        <v>69</v>
      </c>
      <c r="F5" s="124" t="s">
        <v>68</v>
      </c>
      <c r="G5" s="7" t="s">
        <v>69</v>
      </c>
      <c r="H5" s="592"/>
      <c r="I5" s="592"/>
    </row>
    <row r="6" spans="1:9" s="125" customFormat="1" ht="18" customHeight="1" x14ac:dyDescent="0.2">
      <c r="A6" s="209" t="s">
        <v>5</v>
      </c>
      <c r="B6" s="202">
        <v>63</v>
      </c>
      <c r="C6" s="203">
        <v>23015.99</v>
      </c>
      <c r="D6" s="202">
        <v>4</v>
      </c>
      <c r="E6" s="203">
        <v>4636.33</v>
      </c>
      <c r="F6" s="202">
        <v>4</v>
      </c>
      <c r="G6" s="203">
        <v>941.23</v>
      </c>
      <c r="H6" s="202">
        <v>71</v>
      </c>
      <c r="I6" s="204">
        <v>28593.55</v>
      </c>
    </row>
    <row r="7" spans="1:9" s="125" customFormat="1" ht="18" customHeight="1" x14ac:dyDescent="0.2">
      <c r="A7" s="209" t="s">
        <v>6</v>
      </c>
      <c r="B7" s="205">
        <f>SUM(B8:B9)</f>
        <v>8</v>
      </c>
      <c r="C7" s="207">
        <f t="shared" ref="C7:I7" si="0">SUM(C8:C9)</f>
        <v>273.71999999999997</v>
      </c>
      <c r="D7" s="205">
        <f t="shared" si="0"/>
        <v>1</v>
      </c>
      <c r="E7" s="207">
        <f t="shared" si="0"/>
        <v>31.82</v>
      </c>
      <c r="F7" s="205">
        <f t="shared" si="0"/>
        <v>0</v>
      </c>
      <c r="G7" s="207">
        <f t="shared" si="0"/>
        <v>0</v>
      </c>
      <c r="H7" s="205">
        <f t="shared" si="0"/>
        <v>9</v>
      </c>
      <c r="I7" s="207">
        <f t="shared" si="0"/>
        <v>305.53999999999996</v>
      </c>
    </row>
    <row r="8" spans="1:9" s="125" customFormat="1" ht="18" customHeight="1" x14ac:dyDescent="0.2">
      <c r="A8" s="157" t="s">
        <v>70</v>
      </c>
      <c r="B8" s="205">
        <v>3</v>
      </c>
      <c r="C8" s="207">
        <v>24.55</v>
      </c>
      <c r="D8" s="205">
        <v>1</v>
      </c>
      <c r="E8" s="207">
        <v>31.82</v>
      </c>
      <c r="F8" s="205">
        <v>0</v>
      </c>
      <c r="G8" s="207">
        <v>0</v>
      </c>
      <c r="H8" s="205">
        <v>4</v>
      </c>
      <c r="I8" s="207">
        <v>56.37</v>
      </c>
    </row>
    <row r="9" spans="1:9" s="125" customFormat="1" ht="18" customHeight="1" x14ac:dyDescent="0.2">
      <c r="A9" s="210">
        <v>43586</v>
      </c>
      <c r="B9" s="206">
        <v>5</v>
      </c>
      <c r="C9" s="208">
        <v>249.17</v>
      </c>
      <c r="D9" s="206">
        <v>0</v>
      </c>
      <c r="E9" s="211">
        <v>0</v>
      </c>
      <c r="F9" s="211">
        <v>0</v>
      </c>
      <c r="G9" s="211">
        <v>0</v>
      </c>
      <c r="H9" s="206">
        <f>B9+D9+F9</f>
        <v>5</v>
      </c>
      <c r="I9" s="208">
        <f>C9+E9+G9</f>
        <v>249.17</v>
      </c>
    </row>
    <row r="10" spans="1:9" s="125" customFormat="1" ht="15" customHeight="1" x14ac:dyDescent="0.2">
      <c r="A10" s="147" t="str">
        <f>'1'!$A$39</f>
        <v>$ indicates as on May 31, 2019</v>
      </c>
      <c r="B10" s="147"/>
      <c r="C10" s="147"/>
      <c r="D10" s="147"/>
      <c r="E10" s="147"/>
      <c r="F10" s="147"/>
      <c r="G10" s="147"/>
      <c r="H10" s="147"/>
      <c r="I10" s="147"/>
    </row>
    <row r="11" spans="1:9" s="125" customFormat="1" ht="13.5" customHeight="1" x14ac:dyDescent="0.2">
      <c r="A11" s="575" t="s">
        <v>56</v>
      </c>
      <c r="B11" s="575"/>
      <c r="C11" s="575"/>
      <c r="D11" s="575"/>
      <c r="E11" s="575"/>
      <c r="F11" s="575"/>
      <c r="G11" s="575"/>
      <c r="H11" s="575"/>
      <c r="I11" s="575"/>
    </row>
    <row r="12" spans="1:9" s="125" customFormat="1" ht="28.35" customHeight="1" x14ac:dyDescent="0.2">
      <c r="A12" s="189"/>
      <c r="B12" s="189"/>
      <c r="C12" s="189"/>
      <c r="D12" s="189"/>
      <c r="E12" s="189"/>
      <c r="F12" s="189"/>
      <c r="G12" s="189"/>
      <c r="H12" s="189"/>
      <c r="I12" s="189"/>
    </row>
  </sheetData>
  <mergeCells count="11">
    <mergeCell ref="A11:I11"/>
    <mergeCell ref="A1:I1"/>
    <mergeCell ref="A2:A5"/>
    <mergeCell ref="B2:I2"/>
    <mergeCell ref="B3:G3"/>
    <mergeCell ref="H3:I3"/>
    <mergeCell ref="B4:C4"/>
    <mergeCell ref="D4:E4"/>
    <mergeCell ref="F4:G4"/>
    <mergeCell ref="H4:H5"/>
    <mergeCell ref="I4:I5"/>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zoomScaleNormal="100" workbookViewId="0">
      <selection activeCell="I15" sqref="I15"/>
    </sheetView>
  </sheetViews>
  <sheetFormatPr defaultRowHeight="15" x14ac:dyDescent="0.25"/>
  <cols>
    <col min="1" max="1" width="12.140625" style="123" bestFit="1" customWidth="1"/>
    <col min="2" max="2" width="12.140625" style="123" customWidth="1"/>
    <col min="3" max="6" width="12.140625" style="123" bestFit="1" customWidth="1"/>
    <col min="7" max="7" width="12.140625" style="123" customWidth="1"/>
    <col min="8" max="11" width="12.140625" style="123" bestFit="1" customWidth="1"/>
    <col min="12" max="12" width="22.42578125" style="123" bestFit="1" customWidth="1"/>
    <col min="13" max="13" width="4.7109375" style="123" bestFit="1" customWidth="1"/>
    <col min="14" max="16384" width="9.140625" style="123"/>
  </cols>
  <sheetData>
    <row r="1" spans="1:12" ht="13.5" customHeight="1" x14ac:dyDescent="0.25">
      <c r="A1" s="612" t="str">
        <f>'Data Summary'!$A$51</f>
        <v xml:space="preserve">Table 49:  Maturity-wise Turnover in Currency Derivative Segment of BSE </v>
      </c>
      <c r="B1" s="612"/>
      <c r="C1" s="612"/>
      <c r="D1" s="612"/>
      <c r="E1" s="612"/>
      <c r="F1" s="612"/>
      <c r="G1" s="612"/>
      <c r="H1" s="612"/>
      <c r="I1" s="612"/>
      <c r="J1" s="612"/>
      <c r="K1" s="612"/>
      <c r="L1" s="612"/>
    </row>
    <row r="2" spans="1:12" s="125" customFormat="1" ht="19.5" customHeight="1" x14ac:dyDescent="0.25">
      <c r="A2" s="581" t="s">
        <v>124</v>
      </c>
      <c r="B2" s="183"/>
      <c r="C2" s="587" t="s">
        <v>410</v>
      </c>
      <c r="D2" s="631"/>
      <c r="E2" s="631"/>
      <c r="F2" s="588"/>
      <c r="G2" s="184"/>
      <c r="H2" s="587" t="s">
        <v>418</v>
      </c>
      <c r="I2" s="631"/>
      <c r="J2" s="631"/>
      <c r="K2" s="588"/>
    </row>
    <row r="3" spans="1:12" s="125" customFormat="1" ht="15" customHeight="1" x14ac:dyDescent="0.25">
      <c r="A3" s="583"/>
      <c r="B3" s="185" t="s">
        <v>973</v>
      </c>
      <c r="C3" s="161" t="s">
        <v>441</v>
      </c>
      <c r="D3" s="161" t="s">
        <v>442</v>
      </c>
      <c r="E3" s="161" t="s">
        <v>443</v>
      </c>
      <c r="F3" s="161" t="s">
        <v>444</v>
      </c>
      <c r="G3" s="185" t="s">
        <v>973</v>
      </c>
      <c r="H3" s="161" t="s">
        <v>441</v>
      </c>
      <c r="I3" s="161" t="s">
        <v>442</v>
      </c>
      <c r="J3" s="161" t="s">
        <v>443</v>
      </c>
      <c r="K3" s="161" t="s">
        <v>444</v>
      </c>
    </row>
    <row r="4" spans="1:12" s="125" customFormat="1" ht="17.25" customHeight="1" x14ac:dyDescent="0.25">
      <c r="A4" s="190" t="s">
        <v>5</v>
      </c>
      <c r="B4" s="186">
        <v>40725.222699999998</v>
      </c>
      <c r="C4" s="159">
        <v>2821842.1990000005</v>
      </c>
      <c r="D4" s="159">
        <v>328321.59350000002</v>
      </c>
      <c r="E4" s="149">
        <v>9826.4511000000002</v>
      </c>
      <c r="F4" s="149">
        <v>1918.3598999999999</v>
      </c>
      <c r="G4" s="159">
        <v>128051.31930000002</v>
      </c>
      <c r="H4" s="159">
        <v>3701091.8676000005</v>
      </c>
      <c r="I4" s="159">
        <v>315307.14819999994</v>
      </c>
      <c r="J4" s="149">
        <v>1160.0513000000001</v>
      </c>
      <c r="K4" s="149">
        <v>127.16419999999999</v>
      </c>
    </row>
    <row r="5" spans="1:12" s="125" customFormat="1" ht="17.25" customHeight="1" x14ac:dyDescent="0.25">
      <c r="A5" s="190" t="s">
        <v>6</v>
      </c>
      <c r="B5" s="186">
        <v>7560.0209000000004</v>
      </c>
      <c r="C5" s="159">
        <v>388528.79830000002</v>
      </c>
      <c r="D5" s="149">
        <v>48168.879700000012</v>
      </c>
      <c r="E5" s="149">
        <v>770.02080000000001</v>
      </c>
      <c r="F5" s="149">
        <v>17.877499999999998</v>
      </c>
      <c r="G5" s="186">
        <v>73474.793900000004</v>
      </c>
      <c r="H5" s="159">
        <v>662919.60650000023</v>
      </c>
      <c r="I5" s="149">
        <v>51569.802500000005</v>
      </c>
      <c r="J5" s="149">
        <v>23.612200000000001</v>
      </c>
      <c r="K5" s="149">
        <v>0</v>
      </c>
    </row>
    <row r="6" spans="1:12" s="125" customFormat="1" ht="17.25" customHeight="1" x14ac:dyDescent="0.25">
      <c r="A6" s="156" t="s">
        <v>70</v>
      </c>
      <c r="B6" s="186">
        <v>4320.3120000000008</v>
      </c>
      <c r="C6" s="159">
        <v>169144.15449999998</v>
      </c>
      <c r="D6" s="149">
        <v>24434.4012</v>
      </c>
      <c r="E6" s="149">
        <v>317.72540000000004</v>
      </c>
      <c r="F6" s="149">
        <v>10.656299999999996</v>
      </c>
      <c r="G6" s="186">
        <v>27848.369899999998</v>
      </c>
      <c r="H6" s="159">
        <v>327257.38190000004</v>
      </c>
      <c r="I6" s="149">
        <v>27355.288199999995</v>
      </c>
      <c r="J6" s="149">
        <v>3.9959000000000002</v>
      </c>
      <c r="K6" s="149">
        <v>0</v>
      </c>
    </row>
    <row r="7" spans="1:12" s="125" customFormat="1" ht="17.25" customHeight="1" x14ac:dyDescent="0.25">
      <c r="A7" s="188">
        <v>43586</v>
      </c>
      <c r="B7" s="186">
        <v>3239.7089000000005</v>
      </c>
      <c r="C7" s="159">
        <v>219384.64380000008</v>
      </c>
      <c r="D7" s="149">
        <v>23734.478500000012</v>
      </c>
      <c r="E7" s="149">
        <v>452.29540000000003</v>
      </c>
      <c r="F7" s="149">
        <v>7.2212000000000014</v>
      </c>
      <c r="G7" s="186">
        <v>45626.424000000006</v>
      </c>
      <c r="H7" s="159">
        <v>335662.22460000013</v>
      </c>
      <c r="I7" s="149">
        <v>24214.514300000006</v>
      </c>
      <c r="J7" s="149">
        <v>19.616300000000003</v>
      </c>
      <c r="K7" s="149">
        <v>0</v>
      </c>
    </row>
    <row r="8" spans="1:12" s="125" customFormat="1" ht="15" customHeight="1" x14ac:dyDescent="0.2">
      <c r="A8" s="594" t="s">
        <v>846</v>
      </c>
      <c r="B8" s="594"/>
      <c r="C8" s="594"/>
      <c r="D8" s="594"/>
      <c r="E8" s="594"/>
      <c r="F8" s="594"/>
      <c r="G8" s="594"/>
      <c r="H8" s="594"/>
      <c r="I8" s="594"/>
      <c r="J8" s="594"/>
      <c r="K8" s="594"/>
    </row>
    <row r="9" spans="1:12" s="125" customFormat="1" ht="13.5" customHeight="1" x14ac:dyDescent="0.2">
      <c r="A9" s="594" t="s">
        <v>416</v>
      </c>
      <c r="B9" s="594"/>
      <c r="C9" s="594"/>
      <c r="D9" s="594"/>
      <c r="E9" s="594"/>
      <c r="F9" s="594"/>
      <c r="G9" s="594"/>
      <c r="H9" s="594"/>
      <c r="I9" s="594"/>
      <c r="J9" s="594"/>
      <c r="K9" s="594"/>
    </row>
    <row r="10" spans="1:12" s="125" customFormat="1" ht="28.35" customHeight="1" x14ac:dyDescent="0.2"/>
  </sheetData>
  <mergeCells count="6">
    <mergeCell ref="A9:K9"/>
    <mergeCell ref="A1:L1"/>
    <mergeCell ref="A2:A3"/>
    <mergeCell ref="C2:F2"/>
    <mergeCell ref="H2:K2"/>
    <mergeCell ref="A8:K8"/>
  </mergeCells>
  <pageMargins left="0.78431372549019618" right="0.78431372549019618" top="0.98039215686274517" bottom="0.98039215686274517" header="0.50980392156862753" footer="0.50980392156862753"/>
  <pageSetup paperSize="9" scale="55" orientation="portrait" useFirstPageNumber="1"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Normal="100" workbookViewId="0">
      <selection activeCell="G16" sqref="G16"/>
    </sheetView>
  </sheetViews>
  <sheetFormatPr defaultRowHeight="15" x14ac:dyDescent="0.25"/>
  <cols>
    <col min="1" max="8" width="12.140625" style="123" bestFit="1" customWidth="1"/>
    <col min="9" max="9" width="12.42578125" style="123" bestFit="1" customWidth="1"/>
    <col min="10" max="10" width="4.7109375" style="123" bestFit="1" customWidth="1"/>
    <col min="11" max="16384" width="9.140625" style="123"/>
  </cols>
  <sheetData>
    <row r="1" spans="1:9" ht="17.25" customHeight="1" x14ac:dyDescent="0.25">
      <c r="A1" s="625" t="str">
        <f>'Data Summary'!$A$52</f>
        <v>Table 50:  Maturity-wise Turnover in Currency Derivative Segment of NSE</v>
      </c>
      <c r="B1" s="625"/>
      <c r="C1" s="625"/>
      <c r="D1" s="625"/>
      <c r="E1" s="625"/>
      <c r="F1" s="625"/>
      <c r="G1" s="625"/>
      <c r="H1" s="625"/>
      <c r="I1" s="625"/>
    </row>
    <row r="2" spans="1:9" s="122" customFormat="1" ht="18" customHeight="1" x14ac:dyDescent="0.2">
      <c r="A2" s="581" t="s">
        <v>124</v>
      </c>
      <c r="B2" s="618" t="s">
        <v>445</v>
      </c>
      <c r="C2" s="619"/>
      <c r="D2" s="619"/>
      <c r="E2" s="620"/>
      <c r="F2" s="618" t="s">
        <v>418</v>
      </c>
      <c r="G2" s="619"/>
      <c r="H2" s="619"/>
      <c r="I2" s="620"/>
    </row>
    <row r="3" spans="1:9" s="122" customFormat="1" ht="18" customHeight="1" x14ac:dyDescent="0.2">
      <c r="A3" s="583"/>
      <c r="B3" s="152" t="s">
        <v>441</v>
      </c>
      <c r="C3" s="152" t="s">
        <v>446</v>
      </c>
      <c r="D3" s="152" t="s">
        <v>443</v>
      </c>
      <c r="E3" s="152" t="s">
        <v>444</v>
      </c>
      <c r="F3" s="152" t="s">
        <v>441</v>
      </c>
      <c r="G3" s="152" t="s">
        <v>442</v>
      </c>
      <c r="H3" s="152" t="s">
        <v>443</v>
      </c>
      <c r="I3" s="152" t="s">
        <v>444</v>
      </c>
    </row>
    <row r="4" spans="1:9" s="122" customFormat="1" ht="18" customHeight="1" x14ac:dyDescent="0.2">
      <c r="A4" s="209" t="s">
        <v>5</v>
      </c>
      <c r="B4" s="227">
        <v>3719229.9870000002</v>
      </c>
      <c r="C4" s="227">
        <v>828483.42599999998</v>
      </c>
      <c r="D4" s="203">
        <v>70716.607310000007</v>
      </c>
      <c r="E4" s="203">
        <v>36497.05371</v>
      </c>
      <c r="F4" s="227">
        <v>2646030.736</v>
      </c>
      <c r="G4" s="227">
        <v>578570.96849999996</v>
      </c>
      <c r="H4" s="227">
        <v>242227.87289999999</v>
      </c>
      <c r="I4" s="227">
        <v>396594.59090000001</v>
      </c>
    </row>
    <row r="5" spans="1:9" s="122" customFormat="1" ht="18" customHeight="1" x14ac:dyDescent="0.2">
      <c r="A5" s="209" t="s">
        <v>6</v>
      </c>
      <c r="B5" s="227">
        <v>557314.33714287588</v>
      </c>
      <c r="C5" s="227">
        <v>143400.89744008117</v>
      </c>
      <c r="D5" s="203">
        <v>12159.527243749999</v>
      </c>
      <c r="E5" s="203">
        <v>5175.9318954999999</v>
      </c>
      <c r="F5" s="227">
        <v>366043.49930899998</v>
      </c>
      <c r="G5" s="227">
        <v>121209.99242924998</v>
      </c>
      <c r="H5" s="227">
        <v>70255.933295750001</v>
      </c>
      <c r="I5" s="227">
        <v>119054.28001450002</v>
      </c>
    </row>
    <row r="6" spans="1:9" s="122" customFormat="1" ht="18" customHeight="1" x14ac:dyDescent="0.2">
      <c r="A6" s="157" t="s">
        <v>70</v>
      </c>
      <c r="B6" s="227">
        <v>277112.51935000002</v>
      </c>
      <c r="C6" s="227">
        <v>74400.988528000002</v>
      </c>
      <c r="D6" s="203">
        <v>6549.2537249999996</v>
      </c>
      <c r="E6" s="203">
        <v>3222.1359050000001</v>
      </c>
      <c r="F6" s="227">
        <v>189409.033318</v>
      </c>
      <c r="G6" s="227">
        <v>47929.713660000001</v>
      </c>
      <c r="H6" s="227">
        <v>42277.962519000001</v>
      </c>
      <c r="I6" s="227">
        <v>70453.477618000004</v>
      </c>
    </row>
    <row r="7" spans="1:9" s="122" customFormat="1" ht="18" customHeight="1" x14ac:dyDescent="0.2">
      <c r="A7" s="210">
        <v>43586</v>
      </c>
      <c r="B7" s="227">
        <v>280201.81779258349</v>
      </c>
      <c r="C7" s="227">
        <v>68999.908912579034</v>
      </c>
      <c r="D7" s="203">
        <v>5610.2735190000003</v>
      </c>
      <c r="E7" s="203">
        <v>1953.7959907499999</v>
      </c>
      <c r="F7" s="227">
        <v>176634.465991</v>
      </c>
      <c r="G7" s="227">
        <v>73280.278768999997</v>
      </c>
      <c r="H7" s="227">
        <v>27977.970777249997</v>
      </c>
      <c r="I7" s="227">
        <v>48600.802396750019</v>
      </c>
    </row>
    <row r="8" spans="1:9" s="125" customFormat="1" ht="15" customHeight="1" x14ac:dyDescent="0.2">
      <c r="A8" s="575" t="s">
        <v>846</v>
      </c>
      <c r="B8" s="575"/>
      <c r="C8" s="575"/>
      <c r="D8" s="575"/>
      <c r="E8" s="575"/>
      <c r="F8" s="575"/>
      <c r="G8" s="575"/>
      <c r="H8" s="575"/>
      <c r="I8" s="575"/>
    </row>
    <row r="9" spans="1:9" s="125" customFormat="1" ht="13.5" customHeight="1" x14ac:dyDescent="0.2">
      <c r="A9" s="575" t="s">
        <v>276</v>
      </c>
      <c r="B9" s="575"/>
      <c r="C9" s="575"/>
      <c r="D9" s="575"/>
      <c r="E9" s="575"/>
      <c r="F9" s="575"/>
      <c r="G9" s="575"/>
      <c r="H9" s="575"/>
      <c r="I9" s="575"/>
    </row>
    <row r="10" spans="1:9" s="125" customFormat="1" ht="26.1" customHeight="1" x14ac:dyDescent="0.2"/>
  </sheetData>
  <mergeCells count="6">
    <mergeCell ref="A9:I9"/>
    <mergeCell ref="A1:I1"/>
    <mergeCell ref="A2:A3"/>
    <mergeCell ref="B2:E2"/>
    <mergeCell ref="F2:I2"/>
    <mergeCell ref="A8:I8"/>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Normal="100" workbookViewId="0">
      <selection activeCell="A8" sqref="A8:I9"/>
    </sheetView>
  </sheetViews>
  <sheetFormatPr defaultRowHeight="15" x14ac:dyDescent="0.25"/>
  <cols>
    <col min="1" max="9" width="12.140625" style="123" bestFit="1" customWidth="1"/>
    <col min="10" max="10" width="4.7109375" style="123" bestFit="1" customWidth="1"/>
    <col min="11" max="16384" width="9.140625" style="123"/>
  </cols>
  <sheetData>
    <row r="1" spans="1:9" ht="15.75" customHeight="1" x14ac:dyDescent="0.25">
      <c r="A1" s="625" t="str">
        <f>'Data Summary'!$A$53</f>
        <v>Table 51:  Maturity-wise Turnover in Currency Derivative Segment of MSEI</v>
      </c>
      <c r="B1" s="625"/>
      <c r="C1" s="625"/>
      <c r="D1" s="625"/>
      <c r="E1" s="625"/>
      <c r="F1" s="625"/>
      <c r="G1" s="625"/>
      <c r="H1" s="625"/>
      <c r="I1" s="625"/>
    </row>
    <row r="2" spans="1:9" s="125" customFormat="1" ht="18" customHeight="1" x14ac:dyDescent="0.2">
      <c r="A2" s="581" t="s">
        <v>124</v>
      </c>
      <c r="B2" s="618" t="s">
        <v>445</v>
      </c>
      <c r="C2" s="619"/>
      <c r="D2" s="619"/>
      <c r="E2" s="620"/>
      <c r="F2" s="618" t="s">
        <v>418</v>
      </c>
      <c r="G2" s="619"/>
      <c r="H2" s="619"/>
      <c r="I2" s="620"/>
    </row>
    <row r="3" spans="1:9" s="125" customFormat="1" ht="18" customHeight="1" x14ac:dyDescent="0.2">
      <c r="A3" s="583"/>
      <c r="B3" s="152" t="s">
        <v>441</v>
      </c>
      <c r="C3" s="152" t="s">
        <v>446</v>
      </c>
      <c r="D3" s="152" t="s">
        <v>443</v>
      </c>
      <c r="E3" s="152" t="s">
        <v>444</v>
      </c>
      <c r="F3" s="152" t="s">
        <v>441</v>
      </c>
      <c r="G3" s="152" t="s">
        <v>442</v>
      </c>
      <c r="H3" s="152" t="s">
        <v>443</v>
      </c>
      <c r="I3" s="152" t="s">
        <v>444</v>
      </c>
    </row>
    <row r="4" spans="1:9" s="125" customFormat="1" ht="17.25" customHeight="1" x14ac:dyDescent="0.2">
      <c r="A4" s="209" t="s">
        <v>5</v>
      </c>
      <c r="B4" s="203">
        <v>33138.896777745998</v>
      </c>
      <c r="C4" s="203">
        <v>4977.6412007500003</v>
      </c>
      <c r="D4" s="203">
        <v>55.156286999999999</v>
      </c>
      <c r="E4" s="203">
        <v>22.945404499999999</v>
      </c>
      <c r="F4" s="203">
        <v>5702.8547054999999</v>
      </c>
      <c r="G4" s="203">
        <v>3164.63356475</v>
      </c>
      <c r="H4" s="203">
        <v>176.3905</v>
      </c>
      <c r="I4" s="203">
        <v>0</v>
      </c>
    </row>
    <row r="5" spans="1:9" s="125" customFormat="1" ht="17.25" customHeight="1" x14ac:dyDescent="0.2">
      <c r="A5" s="209" t="s">
        <v>6</v>
      </c>
      <c r="B5" s="203">
        <f>SUM(B6:B17)</f>
        <v>2656.1963475000002</v>
      </c>
      <c r="C5" s="203">
        <f t="shared" ref="C5:I5" si="0">SUM(C6:C17)</f>
        <v>190.56310074999999</v>
      </c>
      <c r="D5" s="203">
        <f t="shared" si="0"/>
        <v>1.4069999999999999E-2</v>
      </c>
      <c r="E5" s="203">
        <f t="shared" si="0"/>
        <v>0.35620000000000002</v>
      </c>
      <c r="F5" s="203">
        <f t="shared" si="0"/>
        <v>1793.2513837500001</v>
      </c>
      <c r="G5" s="203">
        <f t="shared" si="0"/>
        <v>43.0933475</v>
      </c>
      <c r="H5" s="203">
        <f t="shared" si="0"/>
        <v>0</v>
      </c>
      <c r="I5" s="203">
        <f t="shared" si="0"/>
        <v>0</v>
      </c>
    </row>
    <row r="6" spans="1:9" s="125" customFormat="1" ht="17.25" customHeight="1" x14ac:dyDescent="0.2">
      <c r="A6" s="157" t="s">
        <v>70</v>
      </c>
      <c r="B6" s="203">
        <v>1612.0490542499999</v>
      </c>
      <c r="C6" s="203">
        <v>92.481731999999994</v>
      </c>
      <c r="D6" s="203">
        <v>1.4069999999999999E-2</v>
      </c>
      <c r="E6" s="203">
        <v>0</v>
      </c>
      <c r="F6" s="203">
        <v>1048.27211225</v>
      </c>
      <c r="G6" s="203">
        <v>27.520912500000001</v>
      </c>
      <c r="H6" s="203">
        <v>0</v>
      </c>
      <c r="I6" s="203">
        <v>0</v>
      </c>
    </row>
    <row r="7" spans="1:9" s="125" customFormat="1" ht="17.25" customHeight="1" x14ac:dyDescent="0.2">
      <c r="A7" s="210">
        <v>43586</v>
      </c>
      <c r="B7" s="203">
        <v>1044.1472932500001</v>
      </c>
      <c r="C7" s="203">
        <v>98.081368749999996</v>
      </c>
      <c r="D7" s="203">
        <v>0</v>
      </c>
      <c r="E7" s="203">
        <v>0.35620000000000002</v>
      </c>
      <c r="F7" s="203">
        <v>744.97927149999998</v>
      </c>
      <c r="G7" s="203">
        <v>15.572435</v>
      </c>
      <c r="H7" s="203">
        <v>0</v>
      </c>
      <c r="I7" s="203">
        <v>0</v>
      </c>
    </row>
    <row r="8" spans="1:9" s="125" customFormat="1" ht="15" customHeight="1" x14ac:dyDescent="0.2">
      <c r="A8" s="594" t="s">
        <v>846</v>
      </c>
      <c r="B8" s="594"/>
      <c r="C8" s="594"/>
      <c r="D8" s="594"/>
      <c r="E8" s="594"/>
      <c r="F8" s="594"/>
      <c r="G8" s="594"/>
      <c r="H8" s="594"/>
      <c r="I8" s="594"/>
    </row>
    <row r="9" spans="1:9" s="125" customFormat="1" ht="13.5" customHeight="1" x14ac:dyDescent="0.2">
      <c r="A9" s="594" t="s">
        <v>177</v>
      </c>
      <c r="B9" s="594"/>
      <c r="C9" s="594"/>
      <c r="D9" s="594"/>
      <c r="E9" s="594"/>
      <c r="F9" s="594"/>
      <c r="G9" s="594"/>
      <c r="H9" s="594"/>
      <c r="I9" s="594"/>
    </row>
    <row r="10" spans="1:9" s="125" customFormat="1" ht="27.6" customHeight="1" x14ac:dyDescent="0.2"/>
  </sheetData>
  <mergeCells count="6">
    <mergeCell ref="A9:I9"/>
    <mergeCell ref="A1:I1"/>
    <mergeCell ref="A2:A3"/>
    <mergeCell ref="B2:E2"/>
    <mergeCell ref="F2:I2"/>
    <mergeCell ref="A8:I8"/>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zoomScaleNormal="100" workbookViewId="0">
      <selection activeCell="G13" sqref="G13"/>
    </sheetView>
  </sheetViews>
  <sheetFormatPr defaultRowHeight="15" x14ac:dyDescent="0.25"/>
  <cols>
    <col min="1" max="1" width="8.28515625" style="123" customWidth="1"/>
    <col min="2" max="2" width="8" style="123" customWidth="1"/>
    <col min="3" max="3" width="10.140625" style="123" bestFit="1" customWidth="1"/>
    <col min="4" max="4" width="12" style="123" customWidth="1"/>
    <col min="5" max="5" width="10.140625" style="123" bestFit="1" customWidth="1"/>
    <col min="6" max="6" width="12.5703125" style="123" customWidth="1"/>
    <col min="7" max="7" width="11.42578125" style="123" bestFit="1" customWidth="1"/>
    <col min="8" max="8" width="12.7109375" style="123" bestFit="1" customWidth="1"/>
    <col min="9" max="9" width="8.28515625" style="123" bestFit="1" customWidth="1"/>
    <col min="10" max="10" width="10.7109375" style="123" customWidth="1"/>
    <col min="11" max="11" width="9.85546875" style="123" customWidth="1"/>
    <col min="12" max="12" width="9.28515625" style="123" customWidth="1"/>
    <col min="13" max="13" width="9.7109375" style="123" customWidth="1"/>
    <col min="14" max="14" width="8.42578125" style="123" customWidth="1"/>
    <col min="15" max="15" width="4.7109375" style="123" bestFit="1" customWidth="1"/>
    <col min="16" max="16384" width="9.140625" style="123"/>
  </cols>
  <sheetData>
    <row r="1" spans="1:14" ht="15.75" customHeight="1" x14ac:dyDescent="0.25">
      <c r="A1" s="574" t="str">
        <f>'Data Summary'!$A$54</f>
        <v>Table 52:  Trading Statistics of Interest Rate Futures at BSE, NSE and MSEI</v>
      </c>
      <c r="B1" s="574"/>
      <c r="C1" s="574"/>
      <c r="D1" s="574"/>
      <c r="E1" s="574"/>
      <c r="F1" s="574"/>
      <c r="G1" s="574"/>
      <c r="H1" s="574"/>
      <c r="I1" s="574"/>
      <c r="J1" s="574"/>
      <c r="K1" s="574"/>
      <c r="L1" s="574"/>
      <c r="M1" s="574"/>
    </row>
    <row r="2" spans="1:14" s="122" customFormat="1" ht="19.5" customHeight="1" x14ac:dyDescent="0.2">
      <c r="A2" s="660" t="s">
        <v>82</v>
      </c>
      <c r="B2" s="660" t="s">
        <v>153</v>
      </c>
      <c r="C2" s="677" t="s">
        <v>129</v>
      </c>
      <c r="D2" s="675"/>
      <c r="E2" s="675"/>
      <c r="F2" s="676"/>
      <c r="G2" s="677" t="s">
        <v>130</v>
      </c>
      <c r="H2" s="675"/>
      <c r="I2" s="675"/>
      <c r="J2" s="676"/>
      <c r="K2" s="677" t="s">
        <v>131</v>
      </c>
      <c r="L2" s="675"/>
      <c r="M2" s="675"/>
      <c r="N2" s="676"/>
    </row>
    <row r="3" spans="1:14" s="122" customFormat="1" ht="36" customHeight="1" x14ac:dyDescent="0.2">
      <c r="A3" s="661"/>
      <c r="B3" s="661"/>
      <c r="C3" s="677" t="s">
        <v>447</v>
      </c>
      <c r="D3" s="676"/>
      <c r="E3" s="682" t="s">
        <v>448</v>
      </c>
      <c r="F3" s="683"/>
      <c r="G3" s="677" t="s">
        <v>447</v>
      </c>
      <c r="H3" s="676"/>
      <c r="I3" s="682" t="s">
        <v>448</v>
      </c>
      <c r="J3" s="683"/>
      <c r="K3" s="677" t="s">
        <v>449</v>
      </c>
      <c r="L3" s="676"/>
      <c r="M3" s="680" t="s">
        <v>450</v>
      </c>
      <c r="N3" s="681"/>
    </row>
    <row r="4" spans="1:14" s="122" customFormat="1" ht="48.75" customHeight="1" x14ac:dyDescent="0.2">
      <c r="A4" s="662"/>
      <c r="B4" s="662"/>
      <c r="C4" s="146" t="s">
        <v>413</v>
      </c>
      <c r="D4" s="473" t="s">
        <v>451</v>
      </c>
      <c r="E4" s="146" t="s">
        <v>413</v>
      </c>
      <c r="F4" s="473" t="s">
        <v>451</v>
      </c>
      <c r="G4" s="521" t="s">
        <v>374</v>
      </c>
      <c r="H4" s="473" t="s">
        <v>451</v>
      </c>
      <c r="I4" s="521" t="s">
        <v>374</v>
      </c>
      <c r="J4" s="473" t="s">
        <v>451</v>
      </c>
      <c r="K4" s="146" t="s">
        <v>414</v>
      </c>
      <c r="L4" s="473" t="s">
        <v>451</v>
      </c>
      <c r="M4" s="146" t="s">
        <v>413</v>
      </c>
      <c r="N4" s="473" t="s">
        <v>415</v>
      </c>
    </row>
    <row r="5" spans="1:14" s="122" customFormat="1" ht="12.75" x14ac:dyDescent="0.2">
      <c r="A5" s="190" t="s">
        <v>5</v>
      </c>
      <c r="B5" s="503">
        <v>243</v>
      </c>
      <c r="C5" s="504">
        <v>5901468</v>
      </c>
      <c r="D5" s="504">
        <v>111222.2865</v>
      </c>
      <c r="E5" s="507">
        <v>60205</v>
      </c>
      <c r="F5" s="507">
        <v>1214.22427672</v>
      </c>
      <c r="G5" s="511">
        <v>12764150</v>
      </c>
      <c r="H5" s="504">
        <v>245407.1838</v>
      </c>
      <c r="I5" s="504">
        <v>103589</v>
      </c>
      <c r="J5" s="507">
        <v>2054.4424410000001</v>
      </c>
      <c r="K5" s="507">
        <v>0</v>
      </c>
      <c r="L5" s="507">
        <v>0</v>
      </c>
      <c r="M5" s="507">
        <v>0</v>
      </c>
      <c r="N5" s="507">
        <v>0</v>
      </c>
    </row>
    <row r="6" spans="1:14" s="191" customFormat="1" ht="12.75" x14ac:dyDescent="0.2">
      <c r="A6" s="190" t="s">
        <v>6</v>
      </c>
      <c r="B6" s="522">
        <f>SUM(B7:B8)</f>
        <v>40</v>
      </c>
      <c r="C6" s="523">
        <f t="shared" ref="C6:D6" si="0">SUM(C7:C8)</f>
        <v>680128</v>
      </c>
      <c r="D6" s="523">
        <f t="shared" si="0"/>
        <v>13236.156899999998</v>
      </c>
      <c r="E6" s="523">
        <f>E8</f>
        <v>60668</v>
      </c>
      <c r="F6" s="523">
        <f>F8</f>
        <v>1254.5999999999999</v>
      </c>
      <c r="G6" s="523">
        <f t="shared" ref="G6" si="1">SUM(G7:G8)</f>
        <v>2377138</v>
      </c>
      <c r="H6" s="523">
        <f t="shared" ref="H6" si="2">SUM(H7:H8)</f>
        <v>46759.498535999999</v>
      </c>
      <c r="I6" s="523">
        <f>I8</f>
        <v>140085</v>
      </c>
      <c r="J6" s="523">
        <f>J8</f>
        <v>2848.5698339999999</v>
      </c>
      <c r="K6" s="524">
        <v>0</v>
      </c>
      <c r="L6" s="524">
        <v>0</v>
      </c>
      <c r="M6" s="524">
        <v>0</v>
      </c>
      <c r="N6" s="524">
        <v>0</v>
      </c>
    </row>
    <row r="7" spans="1:14" s="122" customFormat="1" ht="12.75" x14ac:dyDescent="0.2">
      <c r="A7" s="156" t="s">
        <v>70</v>
      </c>
      <c r="B7" s="503">
        <v>18</v>
      </c>
      <c r="C7" s="525">
        <v>246140</v>
      </c>
      <c r="D7" s="525">
        <v>4738.1117999999997</v>
      </c>
      <c r="E7" s="525">
        <v>66107</v>
      </c>
      <c r="F7" s="525">
        <v>1319.5983174600001</v>
      </c>
      <c r="G7" s="525">
        <v>1232112</v>
      </c>
      <c r="H7" s="525">
        <v>24097.958116500002</v>
      </c>
      <c r="I7" s="525">
        <v>122799</v>
      </c>
      <c r="J7" s="525">
        <v>2431.9342889999998</v>
      </c>
      <c r="K7" s="507">
        <v>0</v>
      </c>
      <c r="L7" s="507">
        <v>0</v>
      </c>
      <c r="M7" s="507">
        <v>0</v>
      </c>
      <c r="N7" s="507">
        <v>0</v>
      </c>
    </row>
    <row r="8" spans="1:14" s="122" customFormat="1" ht="12.75" x14ac:dyDescent="0.2">
      <c r="A8" s="188">
        <v>43586</v>
      </c>
      <c r="B8" s="503">
        <v>22</v>
      </c>
      <c r="C8" s="525">
        <v>433988</v>
      </c>
      <c r="D8" s="525">
        <v>8498.0450999999994</v>
      </c>
      <c r="E8" s="525">
        <v>60668</v>
      </c>
      <c r="F8" s="525">
        <v>1254.5999999999999</v>
      </c>
      <c r="G8" s="525">
        <v>1145026</v>
      </c>
      <c r="H8" s="525">
        <v>22661.540419500001</v>
      </c>
      <c r="I8" s="525">
        <v>140085</v>
      </c>
      <c r="J8" s="525">
        <v>2848.5698339999999</v>
      </c>
      <c r="K8" s="507">
        <v>0</v>
      </c>
      <c r="L8" s="507">
        <v>0</v>
      </c>
      <c r="M8" s="507">
        <v>0</v>
      </c>
      <c r="N8" s="507">
        <v>0</v>
      </c>
    </row>
    <row r="9" spans="1:14" s="189" customFormat="1" ht="19.5" customHeight="1" x14ac:dyDescent="0.2">
      <c r="A9" s="594" t="s">
        <v>846</v>
      </c>
      <c r="B9" s="594"/>
      <c r="C9" s="594"/>
      <c r="D9" s="594"/>
      <c r="E9" s="594"/>
      <c r="F9" s="594"/>
      <c r="G9" s="594"/>
      <c r="H9" s="594"/>
      <c r="I9" s="594"/>
      <c r="J9" s="594"/>
      <c r="K9" s="594"/>
      <c r="L9" s="594"/>
      <c r="M9" s="594"/>
      <c r="N9" s="594"/>
    </row>
    <row r="10" spans="1:14" s="189" customFormat="1" ht="18" customHeight="1" x14ac:dyDescent="0.2">
      <c r="A10" s="594" t="s">
        <v>452</v>
      </c>
      <c r="B10" s="594"/>
      <c r="C10" s="594"/>
      <c r="D10" s="594"/>
      <c r="E10" s="594"/>
      <c r="F10" s="594"/>
      <c r="G10" s="594"/>
      <c r="H10" s="594"/>
      <c r="I10" s="594"/>
      <c r="J10" s="594"/>
      <c r="K10" s="594"/>
      <c r="L10" s="594"/>
      <c r="M10" s="594"/>
      <c r="N10" s="594"/>
    </row>
    <row r="11" spans="1:14" s="125" customFormat="1" ht="27.6" customHeight="1" x14ac:dyDescent="0.2"/>
  </sheetData>
  <mergeCells count="14">
    <mergeCell ref="K3:L3"/>
    <mergeCell ref="M3:N3"/>
    <mergeCell ref="A9:N9"/>
    <mergeCell ref="A10:N10"/>
    <mergeCell ref="A1:M1"/>
    <mergeCell ref="A2:A4"/>
    <mergeCell ref="B2:B4"/>
    <mergeCell ref="C2:F2"/>
    <mergeCell ref="G2:J2"/>
    <mergeCell ref="K2:N2"/>
    <mergeCell ref="C3:D3"/>
    <mergeCell ref="E3:F3"/>
    <mergeCell ref="G3:H3"/>
    <mergeCell ref="I3:J3"/>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zoomScaleNormal="100" workbookViewId="0">
      <selection activeCell="H9" sqref="H9"/>
    </sheetView>
  </sheetViews>
  <sheetFormatPr defaultRowHeight="15" x14ac:dyDescent="0.25"/>
  <cols>
    <col min="1" max="1" width="13.140625" style="123" customWidth="1"/>
    <col min="2" max="2" width="13.28515625" style="123" customWidth="1"/>
    <col min="3" max="4" width="12.140625" style="123" bestFit="1" customWidth="1"/>
    <col min="5" max="5" width="11.85546875" style="123" customWidth="1"/>
    <col min="6" max="6" width="10.85546875" style="123" customWidth="1"/>
    <col min="7" max="7" width="9.140625" style="123" customWidth="1"/>
    <col min="8" max="8" width="22.140625" style="123" bestFit="1" customWidth="1"/>
    <col min="9" max="9" width="4.7109375" style="123" bestFit="1" customWidth="1"/>
    <col min="10" max="16384" width="9.140625" style="123"/>
  </cols>
  <sheetData>
    <row r="1" spans="1:8" ht="15" customHeight="1" x14ac:dyDescent="0.25">
      <c r="A1" s="612" t="str">
        <f>'Data Summary'!$A$55</f>
        <v>Table 53:  Settlement Statistics in Interest Rate Futures at BSE, NSE and MSEI</v>
      </c>
      <c r="B1" s="612"/>
      <c r="C1" s="612"/>
      <c r="D1" s="612"/>
      <c r="E1" s="612"/>
      <c r="F1" s="612"/>
      <c r="G1" s="612"/>
      <c r="H1" s="612"/>
    </row>
    <row r="2" spans="1:8" ht="15" customHeight="1" x14ac:dyDescent="0.25">
      <c r="A2" s="684" t="s">
        <v>977</v>
      </c>
      <c r="B2" s="642"/>
      <c r="C2" s="642"/>
      <c r="D2" s="642"/>
      <c r="E2" s="642"/>
      <c r="F2" s="642"/>
      <c r="G2" s="642"/>
      <c r="H2" s="187"/>
    </row>
    <row r="3" spans="1:8" s="125" customFormat="1" ht="18" customHeight="1" x14ac:dyDescent="0.2">
      <c r="A3" s="581" t="s">
        <v>82</v>
      </c>
      <c r="B3" s="618" t="s">
        <v>129</v>
      </c>
      <c r="C3" s="620"/>
      <c r="D3" s="618" t="s">
        <v>130</v>
      </c>
      <c r="E3" s="620"/>
      <c r="F3" s="618" t="s">
        <v>131</v>
      </c>
      <c r="G3" s="620"/>
    </row>
    <row r="4" spans="1:8" s="125" customFormat="1" ht="42.75" customHeight="1" x14ac:dyDescent="0.2">
      <c r="A4" s="583"/>
      <c r="B4" s="304" t="s">
        <v>381</v>
      </c>
      <c r="C4" s="124" t="s">
        <v>453</v>
      </c>
      <c r="D4" s="304" t="s">
        <v>381</v>
      </c>
      <c r="E4" s="124" t="s">
        <v>453</v>
      </c>
      <c r="F4" s="124" t="s">
        <v>454</v>
      </c>
      <c r="G4" s="124" t="s">
        <v>453</v>
      </c>
    </row>
    <row r="5" spans="1:8" s="125" customFormat="1" ht="18" customHeight="1" x14ac:dyDescent="0.2">
      <c r="A5" s="209" t="s">
        <v>5</v>
      </c>
      <c r="B5" s="309">
        <v>308.58897999999999</v>
      </c>
      <c r="C5" s="309">
        <v>13.792949</v>
      </c>
      <c r="D5" s="309">
        <v>634.57266440000001</v>
      </c>
      <c r="E5" s="309">
        <v>13.22739331</v>
      </c>
      <c r="F5" s="310">
        <v>5.04E-2</v>
      </c>
      <c r="G5" s="311">
        <v>0</v>
      </c>
    </row>
    <row r="6" spans="1:8" s="125" customFormat="1" ht="18" customHeight="1" x14ac:dyDescent="0.2">
      <c r="A6" s="209" t="s">
        <v>6</v>
      </c>
      <c r="B6" s="312">
        <f>SUM(B7:B8)</f>
        <v>136.63701399999999</v>
      </c>
      <c r="C6" s="312">
        <f t="shared" ref="C6:G6" si="0">SUM(C7:C8)</f>
        <v>1.5440240000000001</v>
      </c>
      <c r="D6" s="312">
        <f t="shared" si="0"/>
        <v>147.89365100000001</v>
      </c>
      <c r="E6" s="312">
        <f t="shared" si="0"/>
        <v>1.9684950800000001</v>
      </c>
      <c r="F6" s="313">
        <f t="shared" si="0"/>
        <v>0</v>
      </c>
      <c r="G6" s="313">
        <f t="shared" si="0"/>
        <v>0</v>
      </c>
    </row>
    <row r="7" spans="1:8" s="125" customFormat="1" ht="18" customHeight="1" x14ac:dyDescent="0.2">
      <c r="A7" s="157" t="s">
        <v>70</v>
      </c>
      <c r="B7" s="314">
        <v>58.395730999999998</v>
      </c>
      <c r="C7" s="314">
        <v>0.94437900000000008</v>
      </c>
      <c r="D7" s="315">
        <v>63.695625499999998</v>
      </c>
      <c r="E7" s="316">
        <v>1.6079706</v>
      </c>
      <c r="F7" s="317">
        <v>0</v>
      </c>
      <c r="G7" s="317">
        <v>0</v>
      </c>
    </row>
    <row r="8" spans="1:8" s="125" customFormat="1" ht="18" customHeight="1" x14ac:dyDescent="0.2">
      <c r="A8" s="210">
        <v>43586</v>
      </c>
      <c r="B8" s="314">
        <v>78.241282999999996</v>
      </c>
      <c r="C8" s="314">
        <v>0.59964499999999998</v>
      </c>
      <c r="D8" s="315">
        <v>84.1980255</v>
      </c>
      <c r="E8" s="316">
        <v>0.36052447999999998</v>
      </c>
      <c r="F8" s="317">
        <v>0</v>
      </c>
      <c r="G8" s="317">
        <v>0</v>
      </c>
    </row>
    <row r="9" spans="1:8" s="125" customFormat="1" ht="19.5" customHeight="1" x14ac:dyDescent="0.2">
      <c r="A9" s="575" t="s">
        <v>846</v>
      </c>
      <c r="B9" s="575"/>
      <c r="C9" s="575"/>
      <c r="D9" s="575"/>
      <c r="E9" s="575"/>
      <c r="F9" s="575"/>
      <c r="G9" s="575"/>
    </row>
    <row r="10" spans="1:8" s="125" customFormat="1" ht="18" customHeight="1" x14ac:dyDescent="0.2">
      <c r="A10" s="575" t="s">
        <v>455</v>
      </c>
      <c r="B10" s="575"/>
      <c r="C10" s="575"/>
      <c r="D10" s="575"/>
      <c r="E10" s="575"/>
      <c r="F10" s="575"/>
      <c r="G10" s="575"/>
    </row>
    <row r="11" spans="1:8" s="125" customFormat="1" ht="28.35" customHeight="1" x14ac:dyDescent="0.2"/>
  </sheetData>
  <mergeCells count="8">
    <mergeCell ref="A10:G10"/>
    <mergeCell ref="A1:H1"/>
    <mergeCell ref="A3:A4"/>
    <mergeCell ref="B3:C3"/>
    <mergeCell ref="D3:E3"/>
    <mergeCell ref="F3:G3"/>
    <mergeCell ref="A9:G9"/>
    <mergeCell ref="A2:G2"/>
  </mergeCells>
  <pageMargins left="0.78431372549019618" right="0.78431372549019618" top="0.98039215686274517" bottom="0.98039215686274517" header="0.50980392156862753" footer="0.50980392156862753"/>
  <pageSetup paperSize="9" orientation="landscape" useFirstPageNumber="1"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zoomScaleNormal="100" workbookViewId="0">
      <selection activeCell="D5" sqref="D5"/>
    </sheetView>
  </sheetViews>
  <sheetFormatPr defaultRowHeight="15" x14ac:dyDescent="0.25"/>
  <cols>
    <col min="1" max="6" width="12.140625" style="123" bestFit="1" customWidth="1"/>
    <col min="7" max="7" width="4.85546875" style="123" bestFit="1" customWidth="1"/>
    <col min="8" max="16384" width="9.140625" style="123"/>
  </cols>
  <sheetData>
    <row r="1" spans="1:6" ht="15" customHeight="1" x14ac:dyDescent="0.25">
      <c r="A1" s="612" t="str">
        <f>'Data Summary'!$A$56</f>
        <v>Table 54:  Trends in Foreign Portfolio Investment</v>
      </c>
      <c r="B1" s="612"/>
      <c r="C1" s="612"/>
      <c r="D1" s="612"/>
    </row>
    <row r="2" spans="1:6" s="125" customFormat="1" ht="62.25" customHeight="1" x14ac:dyDescent="0.2">
      <c r="A2" s="124" t="s">
        <v>124</v>
      </c>
      <c r="B2" s="7" t="s">
        <v>456</v>
      </c>
      <c r="C2" s="7" t="s">
        <v>457</v>
      </c>
      <c r="D2" s="7" t="s">
        <v>458</v>
      </c>
      <c r="E2" s="124" t="s">
        <v>459</v>
      </c>
      <c r="F2" s="124" t="s">
        <v>460</v>
      </c>
    </row>
    <row r="3" spans="1:6" s="125" customFormat="1" ht="18" customHeight="1" x14ac:dyDescent="0.25">
      <c r="A3" s="209" t="s">
        <v>5</v>
      </c>
      <c r="B3" s="159">
        <v>1640809.7200000002</v>
      </c>
      <c r="C3" s="159">
        <v>1679740.8399999999</v>
      </c>
      <c r="D3" s="149">
        <v>-38931.119999999988</v>
      </c>
      <c r="E3" s="155">
        <v>-5498.7400000000007</v>
      </c>
      <c r="F3" s="159">
        <v>248154.18</v>
      </c>
    </row>
    <row r="4" spans="1:6" s="125" customFormat="1" ht="18" customHeight="1" x14ac:dyDescent="0.25">
      <c r="A4" s="209" t="s">
        <v>6</v>
      </c>
      <c r="B4" s="159">
        <f>SUM(B5:B6)</f>
        <v>308301.76</v>
      </c>
      <c r="C4" s="159">
        <f t="shared" ref="C4:E4" si="0">SUM(C5:C6)</f>
        <v>280203.90000000002</v>
      </c>
      <c r="D4" s="149">
        <f t="shared" si="0"/>
        <v>28097.86</v>
      </c>
      <c r="E4" s="149">
        <f t="shared" si="0"/>
        <v>4044.54</v>
      </c>
      <c r="F4" s="159">
        <f>F6</f>
        <v>252198.72</v>
      </c>
    </row>
    <row r="5" spans="1:6" s="125" customFormat="1" ht="18" customHeight="1" x14ac:dyDescent="0.25">
      <c r="A5" s="157" t="s">
        <v>70</v>
      </c>
      <c r="B5" s="159">
        <v>135799.91</v>
      </c>
      <c r="C5" s="159">
        <v>119072.05</v>
      </c>
      <c r="D5" s="149">
        <v>16727.86</v>
      </c>
      <c r="E5" s="155">
        <v>2406.9</v>
      </c>
      <c r="F5" s="159">
        <f>F3+E5</f>
        <v>250561.08</v>
      </c>
    </row>
    <row r="6" spans="1:6" s="125" customFormat="1" ht="18" customHeight="1" x14ac:dyDescent="0.25">
      <c r="A6" s="210">
        <v>43586</v>
      </c>
      <c r="B6" s="159">
        <v>172501.85</v>
      </c>
      <c r="C6" s="159">
        <v>161131.85</v>
      </c>
      <c r="D6" s="149">
        <v>11370</v>
      </c>
      <c r="E6" s="155">
        <v>1637.64</v>
      </c>
      <c r="F6" s="159">
        <f>F5+E6</f>
        <v>252198.72</v>
      </c>
    </row>
    <row r="7" spans="1:6" s="189" customFormat="1" ht="18.75" customHeight="1" x14ac:dyDescent="0.2">
      <c r="A7" s="594" t="s">
        <v>846</v>
      </c>
      <c r="B7" s="594"/>
      <c r="C7" s="594"/>
      <c r="D7" s="594"/>
      <c r="E7" s="594"/>
      <c r="F7" s="594"/>
    </row>
    <row r="8" spans="1:6" s="189" customFormat="1" ht="18" customHeight="1" x14ac:dyDescent="0.2">
      <c r="A8" s="594" t="s">
        <v>461</v>
      </c>
      <c r="B8" s="594"/>
      <c r="C8" s="594"/>
      <c r="D8" s="594"/>
      <c r="E8" s="594"/>
      <c r="F8" s="594"/>
    </row>
    <row r="9" spans="1:6" s="125" customFormat="1" ht="28.35" customHeight="1" x14ac:dyDescent="0.2"/>
  </sheetData>
  <mergeCells count="3">
    <mergeCell ref="A1:D1"/>
    <mergeCell ref="A7:F7"/>
    <mergeCell ref="A8:F8"/>
  </mergeCells>
  <pageMargins left="0.78431372549019618" right="0.78431372549019618" top="0.98039215686274517" bottom="0.98039215686274517" header="0.50980392156862753" footer="0.50980392156862753"/>
  <pageSetup paperSize="9" orientation="portrait" useFirstPageNumber="1"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zoomScaleNormal="100" workbookViewId="0">
      <selection activeCell="C6" sqref="C6"/>
    </sheetView>
  </sheetViews>
  <sheetFormatPr defaultRowHeight="12.75" x14ac:dyDescent="0.2"/>
  <cols>
    <col min="1" max="1" width="14.85546875" bestFit="1" customWidth="1"/>
    <col min="2" max="5" width="14.7109375" bestFit="1" customWidth="1"/>
    <col min="6" max="6" width="16.42578125" bestFit="1" customWidth="1"/>
    <col min="7" max="7" width="46.140625" bestFit="1" customWidth="1"/>
    <col min="8" max="8" width="4.7109375" bestFit="1" customWidth="1"/>
  </cols>
  <sheetData>
    <row r="1" spans="1:7" ht="34.5" customHeight="1" x14ac:dyDescent="0.2">
      <c r="A1" s="685" t="str">
        <f>'Data Summary'!$A$57</f>
        <v>Table 55:  Notional Value of Offshore Derivative Instruments (ODIs) Vs Assets Under Custody (AUC) of FPIs/Deemed</v>
      </c>
      <c r="B1" s="685"/>
      <c r="C1" s="685"/>
      <c r="D1" s="685"/>
      <c r="E1" s="685"/>
      <c r="F1" s="685"/>
      <c r="G1" s="528"/>
    </row>
    <row r="2" spans="1:7" s="4" customFormat="1" ht="125.25" customHeight="1" x14ac:dyDescent="0.2">
      <c r="A2" s="515" t="s">
        <v>82</v>
      </c>
      <c r="B2" s="146" t="s">
        <v>462</v>
      </c>
      <c r="C2" s="146" t="s">
        <v>463</v>
      </c>
      <c r="D2" s="146" t="s">
        <v>464</v>
      </c>
      <c r="E2" s="146" t="s">
        <v>465</v>
      </c>
      <c r="F2" s="146" t="s">
        <v>466</v>
      </c>
      <c r="G2" s="125"/>
    </row>
    <row r="3" spans="1:7" s="4" customFormat="1" ht="18" customHeight="1" x14ac:dyDescent="0.2">
      <c r="A3" s="526" t="s">
        <v>5</v>
      </c>
      <c r="B3" s="501">
        <v>78110</v>
      </c>
      <c r="C3" s="501">
        <v>77287</v>
      </c>
      <c r="D3" s="131">
        <v>3342680</v>
      </c>
      <c r="E3" s="500">
        <v>2.2999999999999998</v>
      </c>
      <c r="F3" s="500">
        <v>2.2999999999999998</v>
      </c>
      <c r="G3" s="125"/>
    </row>
    <row r="4" spans="1:7" s="4" customFormat="1" ht="18" customHeight="1" x14ac:dyDescent="0.2">
      <c r="A4" s="526" t="s">
        <v>6</v>
      </c>
      <c r="B4" s="501">
        <v>81220</v>
      </c>
      <c r="C4" s="501">
        <v>80362</v>
      </c>
      <c r="D4" s="131">
        <v>3355045</v>
      </c>
      <c r="E4" s="500">
        <v>2.4</v>
      </c>
      <c r="F4" s="500">
        <v>2.4</v>
      </c>
      <c r="G4" s="125"/>
    </row>
    <row r="5" spans="1:7" s="4" customFormat="1" ht="18" customHeight="1" x14ac:dyDescent="0.2">
      <c r="A5" s="527">
        <v>43556</v>
      </c>
      <c r="B5" s="501">
        <v>81220</v>
      </c>
      <c r="C5" s="501">
        <v>80362</v>
      </c>
      <c r="D5" s="131">
        <v>3355045</v>
      </c>
      <c r="E5" s="500">
        <v>2.4</v>
      </c>
      <c r="F5" s="500">
        <v>2.4</v>
      </c>
      <c r="G5" s="125"/>
    </row>
    <row r="6" spans="1:7" s="4" customFormat="1" ht="18" customHeight="1" x14ac:dyDescent="0.2">
      <c r="A6" s="527">
        <v>43586</v>
      </c>
      <c r="B6" s="501">
        <v>82619</v>
      </c>
      <c r="C6" s="501">
        <v>82426</v>
      </c>
      <c r="D6" s="131" t="s">
        <v>1027</v>
      </c>
      <c r="E6" s="500">
        <v>2.4</v>
      </c>
      <c r="F6" s="500">
        <v>2.4</v>
      </c>
      <c r="G6" s="125"/>
    </row>
    <row r="7" spans="1:7" s="4" customFormat="1" ht="45.75" customHeight="1" x14ac:dyDescent="0.2">
      <c r="A7" s="595" t="s">
        <v>467</v>
      </c>
      <c r="B7" s="595"/>
      <c r="C7" s="595"/>
      <c r="D7" s="595"/>
      <c r="E7" s="595"/>
      <c r="F7" s="595"/>
      <c r="G7" s="118"/>
    </row>
    <row r="8" spans="1:7" s="4" customFormat="1" ht="13.5" customHeight="1" x14ac:dyDescent="0.2">
      <c r="A8" s="594" t="s">
        <v>846</v>
      </c>
      <c r="B8" s="594"/>
      <c r="C8" s="594"/>
      <c r="D8" s="594"/>
      <c r="E8" s="594"/>
      <c r="F8" s="594"/>
      <c r="G8" s="118"/>
    </row>
    <row r="9" spans="1:7" s="4" customFormat="1" ht="13.5" customHeight="1" x14ac:dyDescent="0.2">
      <c r="A9" s="594" t="s">
        <v>56</v>
      </c>
      <c r="B9" s="594"/>
      <c r="C9" s="594"/>
      <c r="D9" s="594"/>
      <c r="E9" s="594"/>
      <c r="F9" s="594"/>
      <c r="G9" s="118"/>
    </row>
    <row r="10" spans="1:7" s="4" customFormat="1" ht="28.35" customHeight="1" x14ac:dyDescent="0.2"/>
  </sheetData>
  <mergeCells count="4">
    <mergeCell ref="A7:F7"/>
    <mergeCell ref="A8:F8"/>
    <mergeCell ref="A9:F9"/>
    <mergeCell ref="A1:F1"/>
  </mergeCells>
  <pageMargins left="0.78431372549019618" right="0.78431372549019618" top="0.98039215686274517" bottom="0.98039215686274517" header="0.50980392156862753" footer="0.50980392156862753"/>
  <pageSetup paperSize="9" orientation="landscape" useFirstPageNumber="1"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
  <sheetViews>
    <sheetView zoomScaleNormal="100" workbookViewId="0">
      <selection activeCell="A11" sqref="A11:Z11"/>
    </sheetView>
  </sheetViews>
  <sheetFormatPr defaultRowHeight="12.75" x14ac:dyDescent="0.2"/>
  <cols>
    <col min="1" max="1" width="11.7109375" bestFit="1" customWidth="1"/>
    <col min="2" max="2" width="7.140625" bestFit="1" customWidth="1"/>
    <col min="3" max="3" width="10.140625" bestFit="1" customWidth="1"/>
    <col min="4" max="4" width="7.140625" bestFit="1" customWidth="1"/>
    <col min="5" max="5" width="10.140625" bestFit="1" customWidth="1"/>
    <col min="6" max="6" width="7.140625" bestFit="1" customWidth="1"/>
    <col min="7" max="7" width="10.7109375" bestFit="1" customWidth="1"/>
    <col min="8" max="8" width="6.7109375" bestFit="1" customWidth="1"/>
    <col min="9" max="9" width="10.140625" bestFit="1" customWidth="1"/>
    <col min="10" max="10" width="7.5703125" bestFit="1" customWidth="1"/>
    <col min="11" max="11" width="9.85546875" bestFit="1" customWidth="1"/>
    <col min="12" max="12" width="7" bestFit="1" customWidth="1"/>
    <col min="13" max="13" width="9.7109375" bestFit="1" customWidth="1"/>
    <col min="14" max="14" width="7" bestFit="1" customWidth="1"/>
    <col min="15" max="15" width="12.5703125" bestFit="1" customWidth="1"/>
    <col min="16" max="16" width="7.140625" bestFit="1" customWidth="1"/>
    <col min="17" max="17" width="10.85546875" bestFit="1" customWidth="1"/>
    <col min="18" max="18" width="6.85546875" bestFit="1" customWidth="1"/>
    <col min="19" max="19" width="10.28515625" bestFit="1" customWidth="1"/>
    <col min="20" max="20" width="6.7109375" bestFit="1" customWidth="1"/>
    <col min="21" max="21" width="12.5703125" bestFit="1" customWidth="1"/>
    <col min="22" max="22" width="6.7109375" bestFit="1" customWidth="1"/>
    <col min="23" max="23" width="10.42578125" bestFit="1" customWidth="1"/>
    <col min="24" max="24" width="6.85546875" bestFit="1" customWidth="1"/>
    <col min="25" max="25" width="10.28515625" bestFit="1" customWidth="1"/>
    <col min="26" max="26" width="7.28515625" bestFit="1" customWidth="1"/>
    <col min="27" max="27" width="11" bestFit="1" customWidth="1"/>
    <col min="28" max="28" width="6.7109375" bestFit="1" customWidth="1"/>
    <col min="29" max="29" width="12.85546875" bestFit="1" customWidth="1"/>
    <col min="30" max="30" width="4.7109375" bestFit="1" customWidth="1"/>
  </cols>
  <sheetData>
    <row r="1" spans="1:29" ht="15" customHeight="1" x14ac:dyDescent="0.25">
      <c r="A1" s="612" t="str">
        <f>'Data Summary'!$A$58</f>
        <v>Table 56:  Assets under the Custody of Custodians</v>
      </c>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123"/>
    </row>
    <row r="2" spans="1:29" s="4" customFormat="1" ht="51" customHeight="1" x14ac:dyDescent="0.2">
      <c r="A2" s="591" t="s">
        <v>468</v>
      </c>
      <c r="B2" s="618" t="s">
        <v>469</v>
      </c>
      <c r="C2" s="620"/>
      <c r="D2" s="589" t="s">
        <v>470</v>
      </c>
      <c r="E2" s="590"/>
      <c r="F2" s="589" t="s">
        <v>471</v>
      </c>
      <c r="G2" s="590"/>
      <c r="H2" s="589" t="s">
        <v>472</v>
      </c>
      <c r="I2" s="590"/>
      <c r="J2" s="618" t="s">
        <v>473</v>
      </c>
      <c r="K2" s="620"/>
      <c r="L2" s="618" t="s">
        <v>474</v>
      </c>
      <c r="M2" s="620"/>
      <c r="N2" s="589" t="s">
        <v>475</v>
      </c>
      <c r="O2" s="590"/>
      <c r="P2" s="618" t="s">
        <v>476</v>
      </c>
      <c r="Q2" s="620"/>
      <c r="R2" s="618" t="s">
        <v>205</v>
      </c>
      <c r="S2" s="620"/>
      <c r="T2" s="589" t="s">
        <v>477</v>
      </c>
      <c r="U2" s="590"/>
      <c r="V2" s="589" t="s">
        <v>478</v>
      </c>
      <c r="W2" s="590"/>
      <c r="X2" s="589" t="s">
        <v>479</v>
      </c>
      <c r="Y2" s="590"/>
      <c r="Z2" s="618" t="s">
        <v>199</v>
      </c>
      <c r="AA2" s="620"/>
      <c r="AB2" s="686" t="s">
        <v>64</v>
      </c>
      <c r="AC2" s="687"/>
    </row>
    <row r="3" spans="1:29" s="4" customFormat="1" ht="51.75" customHeight="1" x14ac:dyDescent="0.2">
      <c r="A3" s="592"/>
      <c r="B3" s="124" t="s">
        <v>480</v>
      </c>
      <c r="C3" s="7" t="s">
        <v>69</v>
      </c>
      <c r="D3" s="124" t="s">
        <v>480</v>
      </c>
      <c r="E3" s="7" t="s">
        <v>87</v>
      </c>
      <c r="F3" s="124" t="s">
        <v>480</v>
      </c>
      <c r="G3" s="7" t="s">
        <v>87</v>
      </c>
      <c r="H3" s="124" t="s">
        <v>480</v>
      </c>
      <c r="I3" s="7" t="s">
        <v>87</v>
      </c>
      <c r="J3" s="124" t="s">
        <v>480</v>
      </c>
      <c r="K3" s="7" t="s">
        <v>87</v>
      </c>
      <c r="L3" s="124" t="s">
        <v>480</v>
      </c>
      <c r="M3" s="7" t="s">
        <v>87</v>
      </c>
      <c r="N3" s="124" t="s">
        <v>480</v>
      </c>
      <c r="O3" s="7" t="s">
        <v>87</v>
      </c>
      <c r="P3" s="124" t="s">
        <v>480</v>
      </c>
      <c r="Q3" s="7" t="s">
        <v>87</v>
      </c>
      <c r="R3" s="124" t="s">
        <v>480</v>
      </c>
      <c r="S3" s="7" t="s">
        <v>87</v>
      </c>
      <c r="T3" s="124" t="s">
        <v>480</v>
      </c>
      <c r="U3" s="7" t="s">
        <v>87</v>
      </c>
      <c r="V3" s="124" t="s">
        <v>480</v>
      </c>
      <c r="W3" s="7" t="s">
        <v>87</v>
      </c>
      <c r="X3" s="124" t="s">
        <v>480</v>
      </c>
      <c r="Y3" s="7" t="s">
        <v>87</v>
      </c>
      <c r="Z3" s="124" t="s">
        <v>480</v>
      </c>
      <c r="AA3" s="7" t="s">
        <v>87</v>
      </c>
      <c r="AB3" s="6" t="s">
        <v>480</v>
      </c>
      <c r="AC3" s="7" t="s">
        <v>87</v>
      </c>
    </row>
    <row r="4" spans="1:29" s="4" customFormat="1" ht="18" customHeight="1" x14ac:dyDescent="0.25">
      <c r="A4" s="148" t="s">
        <v>5</v>
      </c>
      <c r="B4" s="149">
        <v>9556</v>
      </c>
      <c r="C4" s="159">
        <v>3342680.32</v>
      </c>
      <c r="D4" s="126">
        <v>64</v>
      </c>
      <c r="E4" s="159">
        <v>354339.64</v>
      </c>
      <c r="F4" s="149">
        <v>1867</v>
      </c>
      <c r="G4" s="159">
        <v>802859.99</v>
      </c>
      <c r="H4" s="149">
        <v>201</v>
      </c>
      <c r="I4" s="149">
        <v>37261.17</v>
      </c>
      <c r="J4" s="149">
        <v>24</v>
      </c>
      <c r="K4" s="149">
        <v>1948.99</v>
      </c>
      <c r="L4" s="149">
        <v>547</v>
      </c>
      <c r="M4" s="149">
        <v>3485.82</v>
      </c>
      <c r="N4" s="149">
        <v>1755</v>
      </c>
      <c r="O4" s="159">
        <v>2278220.41</v>
      </c>
      <c r="P4" s="149">
        <v>499</v>
      </c>
      <c r="Q4" s="159">
        <v>104563.22</v>
      </c>
      <c r="R4" s="149">
        <v>117</v>
      </c>
      <c r="S4" s="159">
        <v>320444.7</v>
      </c>
      <c r="T4" s="126">
        <v>781</v>
      </c>
      <c r="U4" s="159">
        <v>1732888.97</v>
      </c>
      <c r="V4" s="126">
        <v>120</v>
      </c>
      <c r="W4" s="159">
        <v>422316.79</v>
      </c>
      <c r="X4" s="126">
        <v>25</v>
      </c>
      <c r="Y4" s="149">
        <v>60865.9</v>
      </c>
      <c r="Z4" s="149">
        <v>19018</v>
      </c>
      <c r="AA4" s="159">
        <v>791087.54</v>
      </c>
      <c r="AB4" s="8">
        <v>34574</v>
      </c>
      <c r="AC4" s="159">
        <v>10252963.460000001</v>
      </c>
    </row>
    <row r="5" spans="1:29" s="4" customFormat="1" ht="18" customHeight="1" x14ac:dyDescent="0.25">
      <c r="A5" s="148" t="s">
        <v>6</v>
      </c>
      <c r="B5" s="149">
        <v>9549</v>
      </c>
      <c r="C5" s="159">
        <v>3417678.6</v>
      </c>
      <c r="D5" s="126">
        <v>67</v>
      </c>
      <c r="E5" s="159">
        <v>358022.45</v>
      </c>
      <c r="F5" s="149">
        <v>1898</v>
      </c>
      <c r="G5" s="159">
        <v>839833.8</v>
      </c>
      <c r="H5" s="149">
        <v>201</v>
      </c>
      <c r="I5" s="149">
        <v>38274.449999999997</v>
      </c>
      <c r="J5" s="149">
        <v>25</v>
      </c>
      <c r="K5" s="149">
        <v>1973.24</v>
      </c>
      <c r="L5" s="149">
        <v>573</v>
      </c>
      <c r="M5" s="149">
        <v>3551.21</v>
      </c>
      <c r="N5" s="149">
        <v>1744</v>
      </c>
      <c r="O5" s="159">
        <v>2368187.5299999998</v>
      </c>
      <c r="P5" s="149">
        <v>501</v>
      </c>
      <c r="Q5" s="159">
        <v>104227.72</v>
      </c>
      <c r="R5" s="149">
        <v>115</v>
      </c>
      <c r="S5" s="159">
        <v>325111.34999999998</v>
      </c>
      <c r="T5" s="126">
        <v>785</v>
      </c>
      <c r="U5" s="159">
        <v>1757181.69</v>
      </c>
      <c r="V5" s="126">
        <v>126</v>
      </c>
      <c r="W5" s="159">
        <v>436159.99</v>
      </c>
      <c r="X5" s="126">
        <v>25</v>
      </c>
      <c r="Y5" s="149">
        <v>59591.12</v>
      </c>
      <c r="Z5" s="149">
        <v>19682</v>
      </c>
      <c r="AA5" s="159">
        <v>823063.65</v>
      </c>
      <c r="AB5" s="8">
        <f>Z5+X5+V5+T5+R5+P5+N5+L5+J5+H5+F5+D5+B5</f>
        <v>35291</v>
      </c>
      <c r="AC5" s="159">
        <f>AA5+Y5+W5+U5+S5+Q5+O5+M5+K5+I5+G5+E5+C5</f>
        <v>10532856.800000001</v>
      </c>
    </row>
    <row r="6" spans="1:29" s="4" customFormat="1" ht="18" customHeight="1" x14ac:dyDescent="0.25">
      <c r="A6" s="216">
        <v>43556</v>
      </c>
      <c r="B6" s="149">
        <v>9518</v>
      </c>
      <c r="C6" s="159">
        <v>3355044.84</v>
      </c>
      <c r="D6" s="126">
        <v>64</v>
      </c>
      <c r="E6" s="159">
        <v>354291.66</v>
      </c>
      <c r="F6" s="149">
        <v>1895</v>
      </c>
      <c r="G6" s="159">
        <v>813049.09</v>
      </c>
      <c r="H6" s="149">
        <v>201</v>
      </c>
      <c r="I6" s="149">
        <v>37267.919999999998</v>
      </c>
      <c r="J6" s="149">
        <v>24</v>
      </c>
      <c r="K6" s="149">
        <v>1967.08</v>
      </c>
      <c r="L6" s="149">
        <v>554</v>
      </c>
      <c r="M6" s="149">
        <v>3477.48</v>
      </c>
      <c r="N6" s="149">
        <v>1739</v>
      </c>
      <c r="O6" s="159">
        <v>2323169.13</v>
      </c>
      <c r="P6" s="149">
        <v>499</v>
      </c>
      <c r="Q6" s="159">
        <v>102763.88</v>
      </c>
      <c r="R6" s="149">
        <v>117</v>
      </c>
      <c r="S6" s="159">
        <v>329869.38</v>
      </c>
      <c r="T6" s="126">
        <v>783</v>
      </c>
      <c r="U6" s="159">
        <v>1738754.53</v>
      </c>
      <c r="V6" s="126">
        <v>126</v>
      </c>
      <c r="W6" s="159">
        <v>427419.72</v>
      </c>
      <c r="X6" s="126">
        <v>25</v>
      </c>
      <c r="Y6" s="149">
        <v>61094.239999999998</v>
      </c>
      <c r="Z6" s="149">
        <v>19296</v>
      </c>
      <c r="AA6" s="159">
        <v>795703.08</v>
      </c>
      <c r="AB6" s="8">
        <v>34841</v>
      </c>
      <c r="AC6" s="159">
        <v>10343872.029999999</v>
      </c>
    </row>
    <row r="7" spans="1:29" s="4" customFormat="1" ht="18" customHeight="1" x14ac:dyDescent="0.25">
      <c r="A7" s="216">
        <v>43586</v>
      </c>
      <c r="B7" s="149">
        <v>9549</v>
      </c>
      <c r="C7" s="159">
        <v>3417678.6</v>
      </c>
      <c r="D7" s="126">
        <v>67</v>
      </c>
      <c r="E7" s="159">
        <v>358022.45</v>
      </c>
      <c r="F7" s="149">
        <v>1898</v>
      </c>
      <c r="G7" s="159">
        <v>839833.8</v>
      </c>
      <c r="H7" s="149">
        <v>201</v>
      </c>
      <c r="I7" s="149">
        <v>38274.449999999997</v>
      </c>
      <c r="J7" s="149">
        <v>25</v>
      </c>
      <c r="K7" s="149">
        <v>1973.24</v>
      </c>
      <c r="L7" s="149">
        <v>573</v>
      </c>
      <c r="M7" s="149">
        <v>3551.21</v>
      </c>
      <c r="N7" s="149">
        <v>1744</v>
      </c>
      <c r="O7" s="159">
        <v>2368187.5299999998</v>
      </c>
      <c r="P7" s="149">
        <v>501</v>
      </c>
      <c r="Q7" s="159">
        <v>104227.72</v>
      </c>
      <c r="R7" s="149">
        <v>115</v>
      </c>
      <c r="S7" s="159">
        <v>325111.34999999998</v>
      </c>
      <c r="T7" s="126">
        <v>785</v>
      </c>
      <c r="U7" s="159">
        <v>1757181.69</v>
      </c>
      <c r="V7" s="126">
        <v>126</v>
      </c>
      <c r="W7" s="159">
        <v>436159.99</v>
      </c>
      <c r="X7" s="126">
        <v>25</v>
      </c>
      <c r="Y7" s="149">
        <v>59591.12</v>
      </c>
      <c r="Z7" s="149">
        <v>19682</v>
      </c>
      <c r="AA7" s="159">
        <v>823063.65</v>
      </c>
      <c r="AB7" s="8">
        <f>Z7+X7+V7+T7+R7+P7+N7+L7+J7+H7+F7+D7+B7</f>
        <v>35291</v>
      </c>
      <c r="AC7" s="159">
        <f>AA7+Y7+W7+U7+S7+Q7+O7+M7+K7+I7+G7+E7+C7</f>
        <v>10532856.800000001</v>
      </c>
    </row>
    <row r="8" spans="1:29" s="4" customFormat="1" ht="14.25" customHeight="1" x14ac:dyDescent="0.2">
      <c r="A8" s="594" t="s">
        <v>481</v>
      </c>
      <c r="B8" s="594"/>
      <c r="C8" s="594"/>
      <c r="D8" s="594"/>
      <c r="E8" s="594"/>
      <c r="F8" s="594"/>
      <c r="G8" s="594"/>
      <c r="H8" s="594"/>
      <c r="I8" s="594"/>
      <c r="J8" s="594"/>
      <c r="K8" s="594"/>
      <c r="L8" s="594"/>
      <c r="M8" s="594"/>
      <c r="N8" s="594"/>
      <c r="O8" s="594"/>
      <c r="P8" s="594"/>
      <c r="Q8" s="594"/>
      <c r="R8" s="594"/>
      <c r="S8" s="594"/>
      <c r="T8" s="594"/>
      <c r="U8" s="594"/>
      <c r="V8" s="594"/>
      <c r="W8" s="594"/>
      <c r="X8" s="594"/>
      <c r="Y8" s="594"/>
      <c r="Z8" s="594"/>
      <c r="AA8" s="125"/>
    </row>
    <row r="9" spans="1:29" s="4" customFormat="1" ht="13.5" customHeight="1" x14ac:dyDescent="0.2">
      <c r="A9" s="594" t="s">
        <v>482</v>
      </c>
      <c r="B9" s="594"/>
      <c r="C9" s="594"/>
      <c r="D9" s="594"/>
      <c r="E9" s="594"/>
      <c r="F9" s="594"/>
      <c r="G9" s="594"/>
      <c r="H9" s="594"/>
      <c r="I9" s="594"/>
      <c r="J9" s="594"/>
      <c r="K9" s="594"/>
      <c r="L9" s="594"/>
      <c r="M9" s="594"/>
      <c r="N9" s="594"/>
      <c r="O9" s="594"/>
      <c r="P9" s="594"/>
      <c r="Q9" s="594"/>
      <c r="R9" s="594"/>
      <c r="S9" s="594"/>
      <c r="T9" s="594"/>
      <c r="U9" s="594"/>
      <c r="V9" s="594"/>
      <c r="W9" s="594"/>
      <c r="X9" s="594"/>
      <c r="Y9" s="594"/>
      <c r="Z9" s="594"/>
      <c r="AA9" s="125"/>
    </row>
    <row r="10" spans="1:29" s="4" customFormat="1" ht="13.5" customHeight="1" x14ac:dyDescent="0.2">
      <c r="A10" s="594" t="s">
        <v>846</v>
      </c>
      <c r="B10" s="594"/>
      <c r="C10" s="594"/>
      <c r="D10" s="594"/>
      <c r="E10" s="594"/>
      <c r="F10" s="594"/>
      <c r="G10" s="594"/>
      <c r="H10" s="594"/>
      <c r="I10" s="594"/>
      <c r="J10" s="594"/>
      <c r="K10" s="594"/>
      <c r="L10" s="594"/>
      <c r="M10" s="594"/>
      <c r="N10" s="594"/>
      <c r="O10" s="594"/>
      <c r="P10" s="594"/>
      <c r="Q10" s="594"/>
      <c r="R10" s="594"/>
      <c r="S10" s="594"/>
      <c r="T10" s="594"/>
      <c r="U10" s="594"/>
      <c r="V10" s="594"/>
      <c r="W10" s="594"/>
      <c r="X10" s="594"/>
      <c r="Y10" s="594"/>
      <c r="Z10" s="594"/>
      <c r="AA10" s="125"/>
    </row>
    <row r="11" spans="1:29" s="4" customFormat="1" ht="13.5" customHeight="1" x14ac:dyDescent="0.2">
      <c r="A11" s="594" t="s">
        <v>483</v>
      </c>
      <c r="B11" s="594"/>
      <c r="C11" s="594"/>
      <c r="D11" s="594"/>
      <c r="E11" s="594"/>
      <c r="F11" s="594"/>
      <c r="G11" s="594"/>
      <c r="H11" s="594"/>
      <c r="I11" s="594"/>
      <c r="J11" s="594"/>
      <c r="K11" s="594"/>
      <c r="L11" s="594"/>
      <c r="M11" s="594"/>
      <c r="N11" s="594"/>
      <c r="O11" s="594"/>
      <c r="P11" s="594"/>
      <c r="Q11" s="594"/>
      <c r="R11" s="594"/>
      <c r="S11" s="594"/>
      <c r="T11" s="594"/>
      <c r="U11" s="594"/>
      <c r="V11" s="594"/>
      <c r="W11" s="594"/>
      <c r="X11" s="594"/>
      <c r="Y11" s="594"/>
      <c r="Z11" s="594"/>
      <c r="AA11" s="125"/>
    </row>
    <row r="12" spans="1:29" s="4" customFormat="1" ht="28.35" customHeight="1" x14ac:dyDescent="0.2"/>
  </sheetData>
  <mergeCells count="20">
    <mergeCell ref="AB2:AC2"/>
    <mergeCell ref="A1:Z1"/>
    <mergeCell ref="A2:A3"/>
    <mergeCell ref="B2:C2"/>
    <mergeCell ref="D2:E2"/>
    <mergeCell ref="F2:G2"/>
    <mergeCell ref="H2:I2"/>
    <mergeCell ref="J2:K2"/>
    <mergeCell ref="L2:M2"/>
    <mergeCell ref="N2:O2"/>
    <mergeCell ref="P2:Q2"/>
    <mergeCell ref="A8:Z8"/>
    <mergeCell ref="A9:Z9"/>
    <mergeCell ref="A10:Z10"/>
    <mergeCell ref="A11:Z11"/>
    <mergeCell ref="R2:S2"/>
    <mergeCell ref="T2:U2"/>
    <mergeCell ref="V2:W2"/>
    <mergeCell ref="X2:Y2"/>
    <mergeCell ref="Z2:AA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opLeftCell="C1" zoomScaleNormal="100" workbookViewId="0">
      <selection activeCell="K6" sqref="K6"/>
    </sheetView>
  </sheetViews>
  <sheetFormatPr defaultRowHeight="12.75" x14ac:dyDescent="0.2"/>
  <cols>
    <col min="1" max="11" width="14.7109375" bestFit="1" customWidth="1"/>
    <col min="12" max="12" width="4.7109375" bestFit="1" customWidth="1"/>
  </cols>
  <sheetData>
    <row r="1" spans="1:12" ht="13.5" customHeight="1" x14ac:dyDescent="0.25">
      <c r="A1" s="574" t="str">
        <f>'Data Summary'!$A$59</f>
        <v xml:space="preserve">Table 57:  Trends in Resource Mobilization by Mutual Funds </v>
      </c>
      <c r="B1" s="574"/>
      <c r="C1" s="574"/>
      <c r="D1" s="574"/>
      <c r="E1" s="574"/>
      <c r="F1" s="123"/>
      <c r="G1" s="123"/>
      <c r="H1" s="123"/>
      <c r="I1" s="123"/>
      <c r="J1" s="123"/>
      <c r="K1" s="123"/>
    </row>
    <row r="2" spans="1:12" s="4" customFormat="1" ht="16.5" customHeight="1" x14ac:dyDescent="0.2">
      <c r="A2" s="581" t="s">
        <v>61</v>
      </c>
      <c r="B2" s="621" t="s">
        <v>484</v>
      </c>
      <c r="C2" s="634"/>
      <c r="D2" s="622"/>
      <c r="E2" s="618" t="s">
        <v>485</v>
      </c>
      <c r="F2" s="619"/>
      <c r="G2" s="620"/>
      <c r="H2" s="621" t="s">
        <v>486</v>
      </c>
      <c r="I2" s="634"/>
      <c r="J2" s="622"/>
      <c r="K2" s="654" t="s">
        <v>487</v>
      </c>
    </row>
    <row r="3" spans="1:12" s="4" customFormat="1" ht="27.75" customHeight="1" x14ac:dyDescent="0.2">
      <c r="A3" s="583"/>
      <c r="B3" s="124" t="s">
        <v>488</v>
      </c>
      <c r="C3" s="124" t="s">
        <v>489</v>
      </c>
      <c r="D3" s="124" t="s">
        <v>64</v>
      </c>
      <c r="E3" s="124" t="s">
        <v>488</v>
      </c>
      <c r="F3" s="124" t="s">
        <v>489</v>
      </c>
      <c r="G3" s="124" t="s">
        <v>64</v>
      </c>
      <c r="H3" s="124" t="s">
        <v>488</v>
      </c>
      <c r="I3" s="124" t="s">
        <v>489</v>
      </c>
      <c r="J3" s="124" t="s">
        <v>64</v>
      </c>
      <c r="K3" s="655"/>
    </row>
    <row r="4" spans="1:12" s="4" customFormat="1" ht="18" customHeight="1" x14ac:dyDescent="0.25">
      <c r="A4" s="148" t="s">
        <v>5</v>
      </c>
      <c r="B4" s="163">
        <v>19652988.73</v>
      </c>
      <c r="C4" s="159">
        <v>4741373.7489999998</v>
      </c>
      <c r="D4" s="163">
        <v>24394362.48</v>
      </c>
      <c r="E4" s="163">
        <v>19591483.43</v>
      </c>
      <c r="F4" s="159">
        <v>4693177.6440000003</v>
      </c>
      <c r="G4" s="163">
        <v>24284661.079999998</v>
      </c>
      <c r="H4" s="149">
        <v>61505.297250000003</v>
      </c>
      <c r="I4" s="149">
        <v>48196.106100999998</v>
      </c>
      <c r="J4" s="159">
        <v>109701.40330000001</v>
      </c>
      <c r="K4" s="159">
        <v>2379662.9470000002</v>
      </c>
    </row>
    <row r="5" spans="1:12" s="4" customFormat="1" ht="18" customHeight="1" x14ac:dyDescent="0.25">
      <c r="A5" s="148" t="s">
        <v>6</v>
      </c>
      <c r="B5" s="159">
        <v>3382861.321270749</v>
      </c>
      <c r="C5" s="159">
        <v>777945.32659318694</v>
      </c>
      <c r="D5" s="159">
        <v>4160806.6478639361</v>
      </c>
      <c r="E5" s="159">
        <v>3253644.2272412591</v>
      </c>
      <c r="F5" s="159">
        <v>729712.88659251411</v>
      </c>
      <c r="G5" s="159">
        <v>3983357.1138337729</v>
      </c>
      <c r="H5" s="149">
        <v>129217.09389955251</v>
      </c>
      <c r="I5" s="149">
        <v>147439.39389955252</v>
      </c>
      <c r="J5" s="159">
        <v>177449.5239002257</v>
      </c>
      <c r="K5" s="159">
        <v>2593559.6290129288</v>
      </c>
    </row>
    <row r="6" spans="1:12" s="4" customFormat="1" ht="18" customHeight="1" x14ac:dyDescent="0.25">
      <c r="A6" s="216">
        <v>43556</v>
      </c>
      <c r="B6" s="159">
        <v>1507089.1029999999</v>
      </c>
      <c r="C6" s="159">
        <v>366427.03649999999</v>
      </c>
      <c r="D6" s="159">
        <v>1873516.14</v>
      </c>
      <c r="E6" s="159">
        <v>1441199.095</v>
      </c>
      <c r="F6" s="159">
        <v>331857.31390000001</v>
      </c>
      <c r="G6" s="159">
        <v>1773056.409</v>
      </c>
      <c r="H6" s="149">
        <v>65890.008329999997</v>
      </c>
      <c r="I6" s="149">
        <v>34569.722600000001</v>
      </c>
      <c r="J6" s="159">
        <v>100459.7309</v>
      </c>
      <c r="K6" s="159">
        <v>2478756.9330000002</v>
      </c>
    </row>
    <row r="7" spans="1:12" s="4" customFormat="1" ht="18" customHeight="1" x14ac:dyDescent="0.25">
      <c r="A7" s="216">
        <v>43586</v>
      </c>
      <c r="B7" s="159">
        <f>B5-B6</f>
        <v>1875772.2182707491</v>
      </c>
      <c r="C7" s="159">
        <f t="shared" ref="C7:J7" si="0">C5-C6</f>
        <v>411518.29009318695</v>
      </c>
      <c r="D7" s="159">
        <f t="shared" si="0"/>
        <v>2287290.507863936</v>
      </c>
      <c r="E7" s="159">
        <f t="shared" si="0"/>
        <v>1812445.1322412591</v>
      </c>
      <c r="F7" s="159">
        <f t="shared" si="0"/>
        <v>397855.57269251411</v>
      </c>
      <c r="G7" s="159">
        <f t="shared" si="0"/>
        <v>2210300.704833773</v>
      </c>
      <c r="H7" s="149">
        <f t="shared" si="0"/>
        <v>63327.08556955251</v>
      </c>
      <c r="I7" s="159">
        <f t="shared" si="0"/>
        <v>112869.67129955252</v>
      </c>
      <c r="J7" s="149">
        <f t="shared" si="0"/>
        <v>76989.793000225705</v>
      </c>
      <c r="K7" s="159">
        <f>K5</f>
        <v>2593559.6290129288</v>
      </c>
      <c r="L7" s="4">
        <f>((K7/K6)-1)*100</f>
        <v>4.6314624271765359</v>
      </c>
    </row>
    <row r="8" spans="1:12" s="4" customFormat="1" ht="18.75" customHeight="1" x14ac:dyDescent="0.2">
      <c r="A8" s="575" t="s">
        <v>846</v>
      </c>
      <c r="B8" s="575"/>
      <c r="C8" s="575"/>
      <c r="D8" s="575"/>
      <c r="E8" s="575"/>
      <c r="F8" s="118"/>
      <c r="G8" s="118"/>
      <c r="H8" s="118"/>
      <c r="I8" s="118"/>
      <c r="J8" s="118"/>
      <c r="K8" s="118"/>
    </row>
    <row r="9" spans="1:12" s="4" customFormat="1" ht="18" customHeight="1" x14ac:dyDescent="0.2">
      <c r="A9" s="575" t="s">
        <v>56</v>
      </c>
      <c r="B9" s="575"/>
      <c r="C9" s="575"/>
      <c r="D9" s="575"/>
      <c r="E9" s="575"/>
      <c r="F9" s="118"/>
      <c r="G9" s="118"/>
      <c r="H9" s="118"/>
      <c r="I9" s="118"/>
      <c r="J9" s="118"/>
      <c r="K9" s="118"/>
    </row>
    <row r="10" spans="1:12" s="4" customFormat="1" ht="28.35" customHeight="1" x14ac:dyDescent="0.2"/>
  </sheetData>
  <mergeCells count="8">
    <mergeCell ref="H2:J2"/>
    <mergeCell ref="K2:K3"/>
    <mergeCell ref="A8:E8"/>
    <mergeCell ref="A9:E9"/>
    <mergeCell ref="A1:E1"/>
    <mergeCell ref="A2:A3"/>
    <mergeCell ref="B2:D2"/>
    <mergeCell ref="E2:G2"/>
  </mergeCells>
  <pageMargins left="0.78431372549019618" right="0.78431372549019618" top="0.98039215686274517" bottom="0.98039215686274517" header="0.50980392156862753" footer="0.50980392156862753"/>
  <pageSetup paperSize="9" scale="81" orientation="landscape" useFirstPageNumber="1"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topLeftCell="A2" zoomScaleNormal="100" workbookViewId="0">
      <pane xSplit="2" ySplit="2" topLeftCell="F4" activePane="bottomRight" state="frozen"/>
      <selection activeCell="A2" sqref="A2"/>
      <selection pane="topRight" activeCell="C2" sqref="C2"/>
      <selection pane="bottomLeft" activeCell="A4" sqref="A4"/>
      <selection pane="bottomRight" activeCell="W58" sqref="W58"/>
    </sheetView>
  </sheetViews>
  <sheetFormatPr defaultRowHeight="12.75" x14ac:dyDescent="0.2"/>
  <cols>
    <col min="1" max="1" width="9.140625" style="249"/>
    <col min="2" max="2" width="25.7109375" style="249" customWidth="1"/>
    <col min="3" max="3" width="8.85546875" style="249" customWidth="1"/>
    <col min="4" max="4" width="9.85546875" style="249" bestFit="1" customWidth="1"/>
    <col min="5" max="8" width="9.28515625" style="249" bestFit="1" customWidth="1"/>
    <col min="9" max="9" width="9.28515625" style="250" bestFit="1" customWidth="1"/>
    <col min="10" max="10" width="9.85546875" style="250" bestFit="1" customWidth="1"/>
    <col min="11" max="11" width="9.5703125" style="249" customWidth="1"/>
    <col min="12" max="12" width="10.140625" style="249" customWidth="1"/>
    <col min="13" max="14" width="9.28515625" style="249" bestFit="1" customWidth="1"/>
    <col min="15" max="21" width="0" style="249" hidden="1" customWidth="1"/>
    <col min="22" max="16384" width="9.140625" style="249"/>
  </cols>
  <sheetData>
    <row r="1" spans="1:21" s="252" customFormat="1" ht="15.75" x14ac:dyDescent="0.25">
      <c r="A1" s="251" t="str">
        <f>'Data Summary'!$A$60</f>
        <v xml:space="preserve">Table 58:  Status of Mutual Funds Industry in India </v>
      </c>
      <c r="I1" s="253"/>
      <c r="J1" s="253"/>
    </row>
    <row r="2" spans="1:21" s="263" customFormat="1" ht="12" x14ac:dyDescent="0.2">
      <c r="A2" s="691" t="s">
        <v>614</v>
      </c>
      <c r="B2" s="688" t="s">
        <v>615</v>
      </c>
      <c r="C2" s="689" t="s">
        <v>6</v>
      </c>
      <c r="D2" s="689"/>
      <c r="E2" s="689"/>
      <c r="F2" s="689"/>
      <c r="G2" s="689"/>
      <c r="H2" s="689"/>
      <c r="I2" s="690">
        <v>43586</v>
      </c>
      <c r="J2" s="690"/>
      <c r="K2" s="690"/>
      <c r="L2" s="690"/>
      <c r="M2" s="690"/>
      <c r="N2" s="690"/>
    </row>
    <row r="3" spans="1:21" s="263" customFormat="1" ht="48" x14ac:dyDescent="0.2">
      <c r="A3" s="691"/>
      <c r="B3" s="688"/>
      <c r="C3" s="529" t="s">
        <v>989</v>
      </c>
      <c r="D3" s="529" t="s">
        <v>990</v>
      </c>
      <c r="E3" s="529" t="s">
        <v>1000</v>
      </c>
      <c r="F3" s="529" t="s">
        <v>1001</v>
      </c>
      <c r="G3" s="529" t="s">
        <v>991</v>
      </c>
      <c r="H3" s="529" t="s">
        <v>1002</v>
      </c>
      <c r="I3" s="529" t="s">
        <v>989</v>
      </c>
      <c r="J3" s="529" t="s">
        <v>990</v>
      </c>
      <c r="K3" s="529" t="s">
        <v>1000</v>
      </c>
      <c r="L3" s="529" t="s">
        <v>1001</v>
      </c>
      <c r="M3" s="529" t="s">
        <v>991</v>
      </c>
      <c r="N3" s="529" t="s">
        <v>1002</v>
      </c>
    </row>
    <row r="4" spans="1:21" s="263" customFormat="1" ht="12" x14ac:dyDescent="0.2">
      <c r="A4" s="530" t="s">
        <v>616</v>
      </c>
      <c r="B4" s="531" t="s">
        <v>617</v>
      </c>
      <c r="C4" s="531"/>
      <c r="D4" s="531"/>
      <c r="E4" s="531"/>
      <c r="F4" s="531"/>
      <c r="G4" s="531"/>
      <c r="H4" s="531"/>
      <c r="I4" s="532"/>
      <c r="J4" s="532"/>
      <c r="K4" s="531"/>
      <c r="L4" s="531"/>
      <c r="M4" s="531"/>
      <c r="N4" s="531"/>
    </row>
    <row r="5" spans="1:21" s="318" customFormat="1" ht="12" x14ac:dyDescent="0.2">
      <c r="A5" s="533" t="s">
        <v>618</v>
      </c>
      <c r="B5" s="534" t="s">
        <v>619</v>
      </c>
      <c r="C5" s="535">
        <f>SUM(C6:C21)</f>
        <v>306</v>
      </c>
      <c r="D5" s="535">
        <f t="shared" ref="D5:H5" si="0">SUM(D6:D21)</f>
        <v>5239902</v>
      </c>
      <c r="E5" s="535">
        <f t="shared" si="0"/>
        <v>4088507.2449574843</v>
      </c>
      <c r="F5" s="535">
        <f t="shared" si="0"/>
        <v>3897467.4034277331</v>
      </c>
      <c r="G5" s="535">
        <f t="shared" si="0"/>
        <v>191039.84152975</v>
      </c>
      <c r="H5" s="535">
        <f t="shared" si="0"/>
        <v>1170250.2137684294</v>
      </c>
      <c r="I5" s="535">
        <f>SUM(I6:I21)</f>
        <v>306</v>
      </c>
      <c r="J5" s="535">
        <f>SUM(J6:J21)</f>
        <v>5239902</v>
      </c>
      <c r="K5" s="535">
        <f>SUM(K6:K21)</f>
        <v>2246658.56618866</v>
      </c>
      <c r="L5" s="535">
        <f>SUM(L6:L21)</f>
        <v>2176539.1233130349</v>
      </c>
      <c r="M5" s="535">
        <f t="shared" ref="M5:N5" si="1">SUM(M6:M21)</f>
        <v>70119.442875624474</v>
      </c>
      <c r="N5" s="535">
        <f t="shared" si="1"/>
        <v>1170250.2137684294</v>
      </c>
      <c r="P5" s="536"/>
      <c r="Q5" s="536"/>
      <c r="R5" s="536"/>
      <c r="S5" s="536"/>
      <c r="T5" s="536"/>
      <c r="U5" s="536"/>
    </row>
    <row r="6" spans="1:21" s="318" customFormat="1" ht="12" hidden="1" x14ac:dyDescent="0.2">
      <c r="A6" s="533">
        <v>1</v>
      </c>
      <c r="B6" s="537" t="s">
        <v>620</v>
      </c>
      <c r="C6" s="535">
        <v>18</v>
      </c>
      <c r="D6" s="535">
        <v>22149</v>
      </c>
      <c r="E6" s="535">
        <v>81260.465110360601</v>
      </c>
      <c r="F6" s="535">
        <v>78817.324142495447</v>
      </c>
      <c r="G6" s="535">
        <v>2443.1409678651544</v>
      </c>
      <c r="H6" s="535">
        <v>13713.196738587661</v>
      </c>
      <c r="I6" s="535">
        <f>C6</f>
        <v>18</v>
      </c>
      <c r="J6" s="535">
        <f>D6</f>
        <v>22149</v>
      </c>
      <c r="K6" s="535">
        <f>E6-R6</f>
        <v>49677.469152225793</v>
      </c>
      <c r="L6" s="535">
        <f>F6-S6</f>
        <v>47330.06376480162</v>
      </c>
      <c r="M6" s="535">
        <f>G6-T6</f>
        <v>2347.4053874241604</v>
      </c>
      <c r="N6" s="535">
        <f>H6</f>
        <v>13713.196738587661</v>
      </c>
      <c r="P6" s="538">
        <v>16</v>
      </c>
      <c r="Q6" s="536">
        <v>21363</v>
      </c>
      <c r="R6" s="539">
        <v>31582.995958134812</v>
      </c>
      <c r="S6" s="539">
        <v>31487.260377693827</v>
      </c>
      <c r="T6" s="539">
        <v>95.735580440993971</v>
      </c>
      <c r="U6" s="539">
        <v>11309.753872104708</v>
      </c>
    </row>
    <row r="7" spans="1:21" s="318" customFormat="1" ht="12" hidden="1" x14ac:dyDescent="0.2">
      <c r="A7" s="533">
        <v>2</v>
      </c>
      <c r="B7" s="537" t="s">
        <v>621</v>
      </c>
      <c r="C7" s="535">
        <v>40</v>
      </c>
      <c r="D7" s="535">
        <v>1493220</v>
      </c>
      <c r="E7" s="535">
        <v>3884283.203169392</v>
      </c>
      <c r="F7" s="535">
        <v>3725921.8567711227</v>
      </c>
      <c r="G7" s="535">
        <v>158361.34639826778</v>
      </c>
      <c r="H7" s="535">
        <v>548835.09915426269</v>
      </c>
      <c r="I7" s="535">
        <f t="shared" ref="I7:J22" si="2">C7</f>
        <v>40</v>
      </c>
      <c r="J7" s="535">
        <f t="shared" si="2"/>
        <v>1493220</v>
      </c>
      <c r="K7" s="535">
        <f t="shared" ref="K7:M22" si="3">E7-R7</f>
        <v>2143160.3245564564</v>
      </c>
      <c r="L7" s="535">
        <f t="shared" si="3"/>
        <v>2074577.4119913129</v>
      </c>
      <c r="M7" s="535">
        <f t="shared" si="3"/>
        <v>68582.912565142193</v>
      </c>
      <c r="N7" s="535">
        <f t="shared" ref="N7:N70" si="4">H7</f>
        <v>548835.09915426269</v>
      </c>
      <c r="P7" s="538">
        <v>40</v>
      </c>
      <c r="Q7" s="536">
        <v>1451293</v>
      </c>
      <c r="R7" s="539">
        <v>1741122.8786129355</v>
      </c>
      <c r="S7" s="539">
        <v>1651344.4447798098</v>
      </c>
      <c r="T7" s="539">
        <v>89778.433833125586</v>
      </c>
      <c r="U7" s="539">
        <v>477842.96310311102</v>
      </c>
    </row>
    <row r="8" spans="1:21" s="318" customFormat="1" ht="12" hidden="1" x14ac:dyDescent="0.2">
      <c r="A8" s="533">
        <v>3</v>
      </c>
      <c r="B8" s="537" t="s">
        <v>622</v>
      </c>
      <c r="C8" s="535">
        <v>25</v>
      </c>
      <c r="D8" s="535">
        <v>606796</v>
      </c>
      <c r="E8" s="535">
        <v>35551.622676854306</v>
      </c>
      <c r="F8" s="535">
        <v>23323.514534498998</v>
      </c>
      <c r="G8" s="535">
        <v>12228.10814235531</v>
      </c>
      <c r="H8" s="535">
        <v>89747.470968364345</v>
      </c>
      <c r="I8" s="535">
        <f t="shared" si="2"/>
        <v>25</v>
      </c>
      <c r="J8" s="535">
        <f t="shared" si="2"/>
        <v>606796</v>
      </c>
      <c r="K8" s="535">
        <f t="shared" si="3"/>
        <v>14364.379307483116</v>
      </c>
      <c r="L8" s="535">
        <f t="shared" si="3"/>
        <v>13173.533450077999</v>
      </c>
      <c r="M8" s="535">
        <f t="shared" si="3"/>
        <v>1190.8458574051238</v>
      </c>
      <c r="N8" s="535">
        <f t="shared" si="4"/>
        <v>89747.470968364345</v>
      </c>
      <c r="P8" s="538">
        <v>25</v>
      </c>
      <c r="Q8" s="536">
        <v>591392</v>
      </c>
      <c r="R8" s="539">
        <v>21187.24336937119</v>
      </c>
      <c r="S8" s="539">
        <v>10149.981084420999</v>
      </c>
      <c r="T8" s="539">
        <v>11037.262284950186</v>
      </c>
      <c r="U8" s="539">
        <v>87144.673665827082</v>
      </c>
    </row>
    <row r="9" spans="1:21" s="318" customFormat="1" ht="12" hidden="1" x14ac:dyDescent="0.2">
      <c r="A9" s="533">
        <v>4</v>
      </c>
      <c r="B9" s="537" t="s">
        <v>623</v>
      </c>
      <c r="C9" s="535">
        <v>26</v>
      </c>
      <c r="D9" s="535">
        <v>924739</v>
      </c>
      <c r="E9" s="535">
        <v>24001.86066102688</v>
      </c>
      <c r="F9" s="535">
        <v>21441.810347547696</v>
      </c>
      <c r="G9" s="535">
        <v>2560.0503134791852</v>
      </c>
      <c r="H9" s="535">
        <v>89278.722895774088</v>
      </c>
      <c r="I9" s="535">
        <f t="shared" si="2"/>
        <v>26</v>
      </c>
      <c r="J9" s="535">
        <f t="shared" si="2"/>
        <v>924739</v>
      </c>
      <c r="K9" s="535">
        <f t="shared" si="3"/>
        <v>10572.974456649796</v>
      </c>
      <c r="L9" s="535">
        <f t="shared" si="3"/>
        <v>12926.271461243237</v>
      </c>
      <c r="M9" s="535">
        <f t="shared" si="3"/>
        <v>-2353.2970045934417</v>
      </c>
      <c r="N9" s="535">
        <f t="shared" si="4"/>
        <v>89278.722895774088</v>
      </c>
      <c r="P9" s="538">
        <v>26</v>
      </c>
      <c r="Q9" s="536">
        <v>922455</v>
      </c>
      <c r="R9" s="539">
        <v>13428.886204377084</v>
      </c>
      <c r="S9" s="539">
        <v>8515.5388863044591</v>
      </c>
      <c r="T9" s="539">
        <v>4913.3473180726269</v>
      </c>
      <c r="U9" s="539">
        <v>89821.937997992645</v>
      </c>
    </row>
    <row r="10" spans="1:21" s="318" customFormat="1" ht="12" hidden="1" x14ac:dyDescent="0.2">
      <c r="A10" s="533">
        <v>5</v>
      </c>
      <c r="B10" s="537" t="s">
        <v>624</v>
      </c>
      <c r="C10" s="535">
        <v>16</v>
      </c>
      <c r="D10" s="535">
        <v>288865</v>
      </c>
      <c r="E10" s="535">
        <v>27971.252680003949</v>
      </c>
      <c r="F10" s="535">
        <v>17656.966571636207</v>
      </c>
      <c r="G10" s="535">
        <v>10314.286108367742</v>
      </c>
      <c r="H10" s="535">
        <v>62503.852554626799</v>
      </c>
      <c r="I10" s="535">
        <f t="shared" si="2"/>
        <v>16</v>
      </c>
      <c r="J10" s="535">
        <f t="shared" si="2"/>
        <v>288865</v>
      </c>
      <c r="K10" s="535">
        <f t="shared" si="3"/>
        <v>13662.101556900994</v>
      </c>
      <c r="L10" s="535">
        <f t="shared" si="3"/>
        <v>9766.3354351445578</v>
      </c>
      <c r="M10" s="535">
        <f t="shared" si="3"/>
        <v>3895.7661217564355</v>
      </c>
      <c r="N10" s="535">
        <f t="shared" si="4"/>
        <v>62503.852554626799</v>
      </c>
      <c r="P10" s="538">
        <v>16</v>
      </c>
      <c r="Q10" s="536">
        <v>284325</v>
      </c>
      <c r="R10" s="539">
        <v>14309.151123102954</v>
      </c>
      <c r="S10" s="539">
        <v>7890.6311364916492</v>
      </c>
      <c r="T10" s="539">
        <v>6418.5199866113062</v>
      </c>
      <c r="U10" s="539">
        <v>59017.646587845084</v>
      </c>
    </row>
    <row r="11" spans="1:21" s="318" customFormat="1" ht="12" hidden="1" x14ac:dyDescent="0.2">
      <c r="A11" s="533">
        <v>6</v>
      </c>
      <c r="B11" s="537" t="s">
        <v>625</v>
      </c>
      <c r="C11" s="535">
        <v>29</v>
      </c>
      <c r="D11" s="535">
        <v>267690</v>
      </c>
      <c r="E11" s="535">
        <v>8722.7118802319619</v>
      </c>
      <c r="F11" s="535">
        <v>7268.3335905427448</v>
      </c>
      <c r="G11" s="535">
        <v>1454.3782896892171</v>
      </c>
      <c r="H11" s="535">
        <v>81695.198530393638</v>
      </c>
      <c r="I11" s="535">
        <f t="shared" si="2"/>
        <v>29</v>
      </c>
      <c r="J11" s="535">
        <f t="shared" si="2"/>
        <v>267690</v>
      </c>
      <c r="K11" s="535">
        <f t="shared" si="3"/>
        <v>3508.1725790196897</v>
      </c>
      <c r="L11" s="535">
        <f t="shared" si="3"/>
        <v>4824.3686841385352</v>
      </c>
      <c r="M11" s="535">
        <f t="shared" si="3"/>
        <v>-1316.196105118845</v>
      </c>
      <c r="N11" s="535">
        <f t="shared" si="4"/>
        <v>81695.198530393638</v>
      </c>
      <c r="P11" s="538">
        <v>29</v>
      </c>
      <c r="Q11" s="536">
        <v>263140</v>
      </c>
      <c r="R11" s="539">
        <v>5214.5393012122722</v>
      </c>
      <c r="S11" s="539">
        <v>2443.9649064042096</v>
      </c>
      <c r="T11" s="539">
        <v>2770.5743948080622</v>
      </c>
      <c r="U11" s="539">
        <v>80720.930462900098</v>
      </c>
    </row>
    <row r="12" spans="1:21" s="318" customFormat="1" ht="12" hidden="1" x14ac:dyDescent="0.2">
      <c r="A12" s="533">
        <v>7</v>
      </c>
      <c r="B12" s="537" t="s">
        <v>626</v>
      </c>
      <c r="C12" s="535">
        <v>17</v>
      </c>
      <c r="D12" s="535">
        <v>236775</v>
      </c>
      <c r="E12" s="535">
        <v>1131.6743061346958</v>
      </c>
      <c r="F12" s="535">
        <v>3725.7429732791084</v>
      </c>
      <c r="G12" s="535">
        <v>-2594.0686671444123</v>
      </c>
      <c r="H12" s="535">
        <v>35234.76726380708</v>
      </c>
      <c r="I12" s="535">
        <f t="shared" si="2"/>
        <v>17</v>
      </c>
      <c r="J12" s="535">
        <f t="shared" si="2"/>
        <v>236775</v>
      </c>
      <c r="K12" s="535">
        <f t="shared" si="3"/>
        <v>433.22987045118077</v>
      </c>
      <c r="L12" s="535">
        <f t="shared" si="3"/>
        <v>2496.4068383418935</v>
      </c>
      <c r="M12" s="535">
        <f t="shared" si="3"/>
        <v>-2063.1769678907131</v>
      </c>
      <c r="N12" s="535">
        <f t="shared" si="4"/>
        <v>35234.76726380708</v>
      </c>
      <c r="P12" s="538">
        <v>17</v>
      </c>
      <c r="Q12" s="536">
        <v>243389</v>
      </c>
      <c r="R12" s="539">
        <v>698.44443568351505</v>
      </c>
      <c r="S12" s="539">
        <v>1229.3361349372149</v>
      </c>
      <c r="T12" s="539">
        <v>-530.89169925369947</v>
      </c>
      <c r="U12" s="539">
        <v>36556.276954105364</v>
      </c>
    </row>
    <row r="13" spans="1:21" s="318" customFormat="1" ht="12" hidden="1" x14ac:dyDescent="0.2">
      <c r="A13" s="533">
        <v>8</v>
      </c>
      <c r="B13" s="537" t="s">
        <v>627</v>
      </c>
      <c r="C13" s="535">
        <v>13</v>
      </c>
      <c r="D13" s="535">
        <v>103695</v>
      </c>
      <c r="E13" s="535">
        <v>514.02835916408947</v>
      </c>
      <c r="F13" s="535">
        <v>637.09444184200004</v>
      </c>
      <c r="G13" s="535">
        <v>-123.06608267791064</v>
      </c>
      <c r="H13" s="535">
        <v>9950.9955491438341</v>
      </c>
      <c r="I13" s="535">
        <f t="shared" si="2"/>
        <v>13</v>
      </c>
      <c r="J13" s="535">
        <f t="shared" si="2"/>
        <v>103695</v>
      </c>
      <c r="K13" s="535">
        <f t="shared" si="3"/>
        <v>48.257182024897361</v>
      </c>
      <c r="L13" s="535">
        <f t="shared" si="3"/>
        <v>435.46728681000002</v>
      </c>
      <c r="M13" s="535">
        <f t="shared" si="3"/>
        <v>-387.21010478510277</v>
      </c>
      <c r="N13" s="535">
        <f t="shared" si="4"/>
        <v>9950.9955491438341</v>
      </c>
      <c r="P13" s="538">
        <v>13</v>
      </c>
      <c r="Q13" s="536">
        <v>103875</v>
      </c>
      <c r="R13" s="539">
        <v>465.7711771391921</v>
      </c>
      <c r="S13" s="539">
        <v>201.62715503200002</v>
      </c>
      <c r="T13" s="539">
        <v>264.14402210719214</v>
      </c>
      <c r="U13" s="539">
        <v>10127.503947742469</v>
      </c>
    </row>
    <row r="14" spans="1:21" s="318" customFormat="1" ht="12" hidden="1" x14ac:dyDescent="0.2">
      <c r="A14" s="533">
        <v>9</v>
      </c>
      <c r="B14" s="537" t="s">
        <v>628</v>
      </c>
      <c r="C14" s="535">
        <v>2</v>
      </c>
      <c r="D14" s="535">
        <v>18851</v>
      </c>
      <c r="E14" s="535">
        <v>128.15663598629803</v>
      </c>
      <c r="F14" s="535">
        <v>29.613409461</v>
      </c>
      <c r="G14" s="535">
        <v>98.543226525298024</v>
      </c>
      <c r="H14" s="535">
        <v>1269.5392339734799</v>
      </c>
      <c r="I14" s="535">
        <f t="shared" si="2"/>
        <v>2</v>
      </c>
      <c r="J14" s="535">
        <f t="shared" si="2"/>
        <v>18851</v>
      </c>
      <c r="K14" s="535">
        <f t="shared" si="3"/>
        <v>106.51090834166003</v>
      </c>
      <c r="L14" s="535">
        <f t="shared" si="3"/>
        <v>16.028529743</v>
      </c>
      <c r="M14" s="535">
        <f t="shared" si="3"/>
        <v>90.48237859866002</v>
      </c>
      <c r="N14" s="535">
        <f t="shared" si="4"/>
        <v>1269.5392339734799</v>
      </c>
      <c r="P14" s="538">
        <v>2</v>
      </c>
      <c r="Q14" s="536">
        <v>18687</v>
      </c>
      <c r="R14" s="539">
        <v>21.645727644638001</v>
      </c>
      <c r="S14" s="539">
        <v>13.584879718</v>
      </c>
      <c r="T14" s="539">
        <v>8.0608479266380009</v>
      </c>
      <c r="U14" s="539">
        <v>1130.4137173400929</v>
      </c>
    </row>
    <row r="15" spans="1:21" s="318" customFormat="1" ht="12" hidden="1" x14ac:dyDescent="0.2">
      <c r="A15" s="533">
        <v>10</v>
      </c>
      <c r="B15" s="537" t="s">
        <v>629</v>
      </c>
      <c r="C15" s="535">
        <v>28</v>
      </c>
      <c r="D15" s="535">
        <v>210439</v>
      </c>
      <c r="E15" s="535">
        <v>1279.5320626381786</v>
      </c>
      <c r="F15" s="535">
        <v>1518.7249470440001</v>
      </c>
      <c r="G15" s="535">
        <v>-239.19288440582127</v>
      </c>
      <c r="H15" s="535">
        <v>19549.149187761017</v>
      </c>
      <c r="I15" s="535">
        <f t="shared" si="2"/>
        <v>28</v>
      </c>
      <c r="J15" s="535">
        <f t="shared" si="2"/>
        <v>210439</v>
      </c>
      <c r="K15" s="535">
        <f t="shared" si="3"/>
        <v>294.65852180749675</v>
      </c>
      <c r="L15" s="535">
        <f t="shared" si="3"/>
        <v>945.82290600400006</v>
      </c>
      <c r="M15" s="535">
        <f t="shared" si="3"/>
        <v>-651.16438419650342</v>
      </c>
      <c r="N15" s="535">
        <f t="shared" si="4"/>
        <v>19549.149187761017</v>
      </c>
      <c r="P15" s="538">
        <v>28</v>
      </c>
      <c r="Q15" s="536">
        <v>212622</v>
      </c>
      <c r="R15" s="539">
        <v>984.8735408306818</v>
      </c>
      <c r="S15" s="539">
        <v>572.90204104000009</v>
      </c>
      <c r="T15" s="539">
        <v>411.97149979068212</v>
      </c>
      <c r="U15" s="539">
        <v>19861.099271818399</v>
      </c>
    </row>
    <row r="16" spans="1:21" s="318" customFormat="1" ht="12" hidden="1" x14ac:dyDescent="0.2">
      <c r="A16" s="533">
        <v>11</v>
      </c>
      <c r="B16" s="537" t="s">
        <v>630</v>
      </c>
      <c r="C16" s="535">
        <v>20</v>
      </c>
      <c r="D16" s="535">
        <v>200609</v>
      </c>
      <c r="E16" s="535">
        <v>9641.4316466823475</v>
      </c>
      <c r="F16" s="535">
        <v>4337.048729163901</v>
      </c>
      <c r="G16" s="535">
        <v>5304.3829175184483</v>
      </c>
      <c r="H16" s="535">
        <v>63593.448645242403</v>
      </c>
      <c r="I16" s="535">
        <f t="shared" si="2"/>
        <v>20</v>
      </c>
      <c r="J16" s="535">
        <f t="shared" si="2"/>
        <v>200609</v>
      </c>
      <c r="K16" s="535">
        <f t="shared" si="3"/>
        <v>3562.9868958230372</v>
      </c>
      <c r="L16" s="535">
        <f t="shared" si="3"/>
        <v>2133.0025936669422</v>
      </c>
      <c r="M16" s="535">
        <f t="shared" si="3"/>
        <v>1429.9843021560969</v>
      </c>
      <c r="N16" s="535">
        <f t="shared" si="4"/>
        <v>63593.448645242403</v>
      </c>
      <c r="P16" s="538">
        <v>21</v>
      </c>
      <c r="Q16" s="536">
        <v>193906</v>
      </c>
      <c r="R16" s="539">
        <v>6078.4447508593103</v>
      </c>
      <c r="S16" s="539">
        <v>2204.0461354969589</v>
      </c>
      <c r="T16" s="539">
        <v>3874.3986153623514</v>
      </c>
      <c r="U16" s="539">
        <v>61329.494956083137</v>
      </c>
    </row>
    <row r="17" spans="1:21" s="318" customFormat="1" ht="12" hidden="1" x14ac:dyDescent="0.2">
      <c r="A17" s="533">
        <v>12</v>
      </c>
      <c r="B17" s="537" t="s">
        <v>631</v>
      </c>
      <c r="C17" s="535">
        <v>20</v>
      </c>
      <c r="D17" s="535">
        <v>564179</v>
      </c>
      <c r="E17" s="535">
        <v>1578.2906725663108</v>
      </c>
      <c r="F17" s="535">
        <v>6987.3735864999962</v>
      </c>
      <c r="G17" s="535">
        <v>-5409.0829139336847</v>
      </c>
      <c r="H17" s="535">
        <v>76305.378569855122</v>
      </c>
      <c r="I17" s="535">
        <f t="shared" si="2"/>
        <v>20</v>
      </c>
      <c r="J17" s="535">
        <f t="shared" si="2"/>
        <v>564179</v>
      </c>
      <c r="K17" s="535">
        <f t="shared" si="3"/>
        <v>583.41401422931972</v>
      </c>
      <c r="L17" s="535">
        <f t="shared" si="3"/>
        <v>4739.213451712908</v>
      </c>
      <c r="M17" s="535">
        <f t="shared" si="3"/>
        <v>-4155.7994374835871</v>
      </c>
      <c r="N17" s="535">
        <f t="shared" si="4"/>
        <v>76305.378569855122</v>
      </c>
      <c r="P17" s="538">
        <v>20</v>
      </c>
      <c r="Q17" s="536">
        <v>576015</v>
      </c>
      <c r="R17" s="539">
        <v>994.87665833699111</v>
      </c>
      <c r="S17" s="539">
        <v>2248.1601347870883</v>
      </c>
      <c r="T17" s="539">
        <v>-1253.2834764500972</v>
      </c>
      <c r="U17" s="539">
        <v>79643.890369534492</v>
      </c>
    </row>
    <row r="18" spans="1:21" s="318" customFormat="1" ht="12" hidden="1" x14ac:dyDescent="0.2">
      <c r="A18" s="533">
        <v>13</v>
      </c>
      <c r="B18" s="537" t="s">
        <v>632</v>
      </c>
      <c r="C18" s="535">
        <v>18</v>
      </c>
      <c r="D18" s="535">
        <v>87682</v>
      </c>
      <c r="E18" s="535">
        <v>7511.0749502929775</v>
      </c>
      <c r="F18" s="535">
        <v>1337.1037013218422</v>
      </c>
      <c r="G18" s="535">
        <v>6173.9712489711355</v>
      </c>
      <c r="H18" s="535">
        <v>39717.940824768644</v>
      </c>
      <c r="I18" s="535">
        <f t="shared" si="2"/>
        <v>18</v>
      </c>
      <c r="J18" s="535">
        <f t="shared" si="2"/>
        <v>87682</v>
      </c>
      <c r="K18" s="535">
        <f t="shared" si="3"/>
        <v>4089.6570243208207</v>
      </c>
      <c r="L18" s="535">
        <f t="shared" si="3"/>
        <v>707.83816897212841</v>
      </c>
      <c r="M18" s="535">
        <f t="shared" si="3"/>
        <v>3381.818855348693</v>
      </c>
      <c r="N18" s="535">
        <f t="shared" si="4"/>
        <v>39717.940824768644</v>
      </c>
      <c r="P18" s="538">
        <v>17</v>
      </c>
      <c r="Q18" s="536">
        <v>84669</v>
      </c>
      <c r="R18" s="539">
        <v>3421.4179259721568</v>
      </c>
      <c r="S18" s="539">
        <v>629.26553234971379</v>
      </c>
      <c r="T18" s="539">
        <v>2792.1523936224426</v>
      </c>
      <c r="U18" s="539">
        <v>35682.169426096436</v>
      </c>
    </row>
    <row r="19" spans="1:21" s="318" customFormat="1" ht="12" hidden="1" x14ac:dyDescent="0.2">
      <c r="A19" s="533">
        <v>14</v>
      </c>
      <c r="B19" s="537" t="s">
        <v>633</v>
      </c>
      <c r="C19" s="535">
        <v>22</v>
      </c>
      <c r="D19" s="535">
        <v>68296</v>
      </c>
      <c r="E19" s="535">
        <v>545.9734813606799</v>
      </c>
      <c r="F19" s="535">
        <v>631.41744978100007</v>
      </c>
      <c r="G19" s="535">
        <v>-85.443968420320004</v>
      </c>
      <c r="H19" s="535">
        <v>7697.7624586915999</v>
      </c>
      <c r="I19" s="535">
        <f t="shared" si="2"/>
        <v>22</v>
      </c>
      <c r="J19" s="535">
        <f t="shared" si="2"/>
        <v>68296</v>
      </c>
      <c r="K19" s="535">
        <f t="shared" si="3"/>
        <v>329.28512016399992</v>
      </c>
      <c r="L19" s="535">
        <f t="shared" si="3"/>
        <v>373.870303105</v>
      </c>
      <c r="M19" s="535">
        <f t="shared" si="3"/>
        <v>-44.585182940999985</v>
      </c>
      <c r="N19" s="535">
        <f t="shared" si="4"/>
        <v>7697.7624586915999</v>
      </c>
      <c r="P19" s="538">
        <v>22</v>
      </c>
      <c r="Q19" s="536">
        <v>64848</v>
      </c>
      <c r="R19" s="539">
        <v>216.68836119667998</v>
      </c>
      <c r="S19" s="539">
        <v>257.54714667600007</v>
      </c>
      <c r="T19" s="539">
        <v>-40.858785479320019</v>
      </c>
      <c r="U19" s="539">
        <v>7545.5241795611328</v>
      </c>
    </row>
    <row r="20" spans="1:21" s="318" customFormat="1" ht="12" hidden="1" x14ac:dyDescent="0.2">
      <c r="A20" s="533">
        <v>15</v>
      </c>
      <c r="B20" s="537" t="s">
        <v>634</v>
      </c>
      <c r="C20" s="535">
        <v>4</v>
      </c>
      <c r="D20" s="535">
        <v>11937</v>
      </c>
      <c r="E20" s="535">
        <v>100.684369495</v>
      </c>
      <c r="F20" s="535">
        <v>128.73496102000001</v>
      </c>
      <c r="G20" s="535">
        <v>-28.050591525000002</v>
      </c>
      <c r="H20" s="535">
        <v>502.89835834523865</v>
      </c>
      <c r="I20" s="535">
        <f t="shared" si="2"/>
        <v>4</v>
      </c>
      <c r="J20" s="535">
        <f t="shared" si="2"/>
        <v>11937</v>
      </c>
      <c r="K20" s="535">
        <f t="shared" si="3"/>
        <v>48.434731286000002</v>
      </c>
      <c r="L20" s="535">
        <f t="shared" si="3"/>
        <v>109.58879815700001</v>
      </c>
      <c r="M20" s="535">
        <f t="shared" si="3"/>
        <v>-61.154066870999998</v>
      </c>
      <c r="N20" s="535">
        <f t="shared" si="4"/>
        <v>502.89835834523865</v>
      </c>
      <c r="P20" s="538">
        <v>4</v>
      </c>
      <c r="Q20" s="536">
        <v>10400</v>
      </c>
      <c r="R20" s="539">
        <v>52.249638208999997</v>
      </c>
      <c r="S20" s="539">
        <v>19.146162863000001</v>
      </c>
      <c r="T20" s="539">
        <v>33.103475345999996</v>
      </c>
      <c r="U20" s="539">
        <v>547.78130332567923</v>
      </c>
    </row>
    <row r="21" spans="1:21" s="318" customFormat="1" ht="12" hidden="1" x14ac:dyDescent="0.2">
      <c r="A21" s="533">
        <v>16</v>
      </c>
      <c r="B21" s="537" t="s">
        <v>635</v>
      </c>
      <c r="C21" s="535">
        <v>8</v>
      </c>
      <c r="D21" s="535">
        <v>133980</v>
      </c>
      <c r="E21" s="535">
        <v>4285.2822952938686</v>
      </c>
      <c r="F21" s="535">
        <v>3704.7432704760004</v>
      </c>
      <c r="G21" s="535">
        <v>580.53902481786747</v>
      </c>
      <c r="H21" s="535">
        <v>30654.79283483146</v>
      </c>
      <c r="I21" s="535">
        <f t="shared" si="2"/>
        <v>8</v>
      </c>
      <c r="J21" s="535">
        <f t="shared" si="2"/>
        <v>133980</v>
      </c>
      <c r="K21" s="535">
        <f t="shared" si="3"/>
        <v>2216.7103114762804</v>
      </c>
      <c r="L21" s="535">
        <f t="shared" si="3"/>
        <v>1983.8996498029999</v>
      </c>
      <c r="M21" s="535">
        <f t="shared" si="3"/>
        <v>232.81066167327936</v>
      </c>
      <c r="N21" s="535">
        <f t="shared" si="4"/>
        <v>30654.79283483146</v>
      </c>
      <c r="P21" s="538">
        <v>7</v>
      </c>
      <c r="Q21" s="536">
        <v>133693</v>
      </c>
      <c r="R21" s="539">
        <v>2068.5719838175883</v>
      </c>
      <c r="S21" s="539">
        <v>1720.8436206730005</v>
      </c>
      <c r="T21" s="539">
        <v>347.72836314458812</v>
      </c>
      <c r="U21" s="539">
        <v>30058.009016985317</v>
      </c>
    </row>
    <row r="22" spans="1:21" s="318" customFormat="1" ht="36" hidden="1" x14ac:dyDescent="0.2">
      <c r="A22" s="533"/>
      <c r="B22" s="540" t="s">
        <v>636</v>
      </c>
      <c r="C22" s="535">
        <v>306</v>
      </c>
      <c r="D22" s="535">
        <v>5239902</v>
      </c>
      <c r="E22" s="535">
        <v>4088507.2449574843</v>
      </c>
      <c r="F22" s="535">
        <v>3897467.4034277331</v>
      </c>
      <c r="G22" s="535">
        <v>191039.84152975</v>
      </c>
      <c r="H22" s="535">
        <v>1170250.2137684294</v>
      </c>
      <c r="I22" s="535">
        <f t="shared" si="2"/>
        <v>306</v>
      </c>
      <c r="J22" s="535">
        <f t="shared" si="2"/>
        <v>5239902</v>
      </c>
      <c r="K22" s="535">
        <f t="shared" si="3"/>
        <v>2246658.5661886609</v>
      </c>
      <c r="L22" s="535">
        <f t="shared" si="3"/>
        <v>2176539.1233130349</v>
      </c>
      <c r="M22" s="535">
        <f t="shared" si="3"/>
        <v>70119.442875624445</v>
      </c>
      <c r="N22" s="535">
        <f t="shared" si="4"/>
        <v>1170250.2137684294</v>
      </c>
      <c r="P22" s="541">
        <v>303</v>
      </c>
      <c r="Q22" s="541">
        <v>5176072</v>
      </c>
      <c r="R22" s="542">
        <v>1841848.6787688234</v>
      </c>
      <c r="S22" s="542">
        <v>1720928.280114698</v>
      </c>
      <c r="T22" s="542">
        <v>120920.39865412556</v>
      </c>
      <c r="U22" s="542">
        <v>1088340.068832373</v>
      </c>
    </row>
    <row r="23" spans="1:21" s="318" customFormat="1" ht="12" hidden="1" x14ac:dyDescent="0.2">
      <c r="A23" s="533"/>
      <c r="B23" s="534"/>
      <c r="C23" s="535"/>
      <c r="D23" s="535"/>
      <c r="E23" s="535"/>
      <c r="F23" s="535"/>
      <c r="G23" s="535"/>
      <c r="H23" s="535"/>
      <c r="I23" s="535"/>
      <c r="J23" s="535"/>
      <c r="K23" s="535"/>
      <c r="L23" s="535"/>
      <c r="M23" s="535"/>
      <c r="N23" s="535"/>
      <c r="P23" s="536"/>
      <c r="Q23" s="536"/>
      <c r="R23" s="539"/>
      <c r="S23" s="539"/>
      <c r="T23" s="539"/>
      <c r="U23" s="539"/>
    </row>
    <row r="24" spans="1:21" s="318" customFormat="1" ht="12" x14ac:dyDescent="0.2">
      <c r="A24" s="533" t="s">
        <v>637</v>
      </c>
      <c r="B24" s="534" t="s">
        <v>638</v>
      </c>
      <c r="C24" s="535">
        <f>SUM(C25:C34)</f>
        <v>310</v>
      </c>
      <c r="D24" s="535">
        <f>SUM(D25:D34)</f>
        <v>58356738</v>
      </c>
      <c r="E24" s="535">
        <f t="shared" ref="E24:H24" si="5">SUM(E25:E34)</f>
        <v>37014.514377690975</v>
      </c>
      <c r="F24" s="535">
        <f t="shared" si="5"/>
        <v>26998.02297321906</v>
      </c>
      <c r="G24" s="535">
        <f t="shared" si="5"/>
        <v>10016.49140447191</v>
      </c>
      <c r="H24" s="535">
        <f t="shared" si="5"/>
        <v>724033.95865469798</v>
      </c>
      <c r="I24" s="535">
        <f>SUM(I25:I34)</f>
        <v>310</v>
      </c>
      <c r="J24" s="535">
        <f>SUM(J25:J34)</f>
        <v>58356738</v>
      </c>
      <c r="K24" s="535">
        <f t="shared" ref="K24:N24" si="6">SUM(K25:K34)</f>
        <v>19574.977276002686</v>
      </c>
      <c r="L24" s="535">
        <f t="shared" si="6"/>
        <v>14167.226904318353</v>
      </c>
      <c r="M24" s="535">
        <f t="shared" si="6"/>
        <v>5407.750371684333</v>
      </c>
      <c r="N24" s="535">
        <f t="shared" si="6"/>
        <v>724033.95865469798</v>
      </c>
      <c r="P24" s="536"/>
      <c r="Q24" s="536"/>
      <c r="R24" s="539"/>
      <c r="S24" s="539"/>
      <c r="T24" s="539"/>
      <c r="U24" s="539"/>
    </row>
    <row r="25" spans="1:21" s="318" customFormat="1" ht="12" hidden="1" x14ac:dyDescent="0.2">
      <c r="A25" s="533">
        <v>17</v>
      </c>
      <c r="B25" s="543" t="s">
        <v>639</v>
      </c>
      <c r="C25" s="535">
        <v>34</v>
      </c>
      <c r="D25" s="535">
        <v>8345663</v>
      </c>
      <c r="E25" s="535">
        <v>7429.397302964021</v>
      </c>
      <c r="F25" s="535">
        <v>4907.9018622658668</v>
      </c>
      <c r="G25" s="535">
        <v>2521.4954406981542</v>
      </c>
      <c r="H25" s="535">
        <v>144263.72628358164</v>
      </c>
      <c r="I25" s="535">
        <f t="shared" ref="I25:J86" si="7">C25</f>
        <v>34</v>
      </c>
      <c r="J25" s="535">
        <f t="shared" si="7"/>
        <v>8345663</v>
      </c>
      <c r="K25" s="535">
        <f t="shared" ref="K25:M86" si="8">E25-R25</f>
        <v>3057.9833636770209</v>
      </c>
      <c r="L25" s="535">
        <f t="shared" si="8"/>
        <v>2409.5500955048292</v>
      </c>
      <c r="M25" s="535">
        <f t="shared" si="8"/>
        <v>648.43326817219213</v>
      </c>
      <c r="N25" s="535">
        <f t="shared" si="4"/>
        <v>144263.72628358164</v>
      </c>
      <c r="P25" s="538">
        <v>34</v>
      </c>
      <c r="Q25" s="536">
        <v>8718034</v>
      </c>
      <c r="R25" s="539">
        <v>4371.4139392870002</v>
      </c>
      <c r="S25" s="539">
        <v>2498.3517667610377</v>
      </c>
      <c r="T25" s="539">
        <v>1873.0621725259621</v>
      </c>
      <c r="U25" s="539">
        <v>152056.40206652251</v>
      </c>
    </row>
    <row r="26" spans="1:21" s="318" customFormat="1" ht="12" hidden="1" x14ac:dyDescent="0.2">
      <c r="A26" s="533">
        <v>18</v>
      </c>
      <c r="B26" s="543" t="s">
        <v>640</v>
      </c>
      <c r="C26" s="535">
        <v>30</v>
      </c>
      <c r="D26" s="535">
        <v>8739658</v>
      </c>
      <c r="E26" s="535">
        <v>7102.4539257177184</v>
      </c>
      <c r="F26" s="535">
        <v>7001.3063428787991</v>
      </c>
      <c r="G26" s="535">
        <v>101.14758283891737</v>
      </c>
      <c r="H26" s="535">
        <v>141347.62401503135</v>
      </c>
      <c r="I26" s="535">
        <f t="shared" si="7"/>
        <v>30</v>
      </c>
      <c r="J26" s="535">
        <f t="shared" si="7"/>
        <v>8739658</v>
      </c>
      <c r="K26" s="535">
        <f t="shared" si="8"/>
        <v>4475.3423369417378</v>
      </c>
      <c r="L26" s="535">
        <f t="shared" si="8"/>
        <v>4422.4649609713961</v>
      </c>
      <c r="M26" s="535">
        <f t="shared" si="8"/>
        <v>52.87737597034112</v>
      </c>
      <c r="N26" s="535">
        <f t="shared" si="4"/>
        <v>141347.62401503135</v>
      </c>
      <c r="P26" s="538">
        <v>29</v>
      </c>
      <c r="Q26" s="536">
        <v>8179430</v>
      </c>
      <c r="R26" s="539">
        <v>2627.1115887759806</v>
      </c>
      <c r="S26" s="539">
        <v>2578.8413819074035</v>
      </c>
      <c r="T26" s="539">
        <v>48.270206868576253</v>
      </c>
      <c r="U26" s="539">
        <v>126595.93019332419</v>
      </c>
    </row>
    <row r="27" spans="1:21" s="318" customFormat="1" ht="12" hidden="1" x14ac:dyDescent="0.2">
      <c r="A27" s="533">
        <v>19</v>
      </c>
      <c r="B27" s="543" t="s">
        <v>641</v>
      </c>
      <c r="C27" s="535">
        <v>24</v>
      </c>
      <c r="D27" s="535">
        <v>4376697</v>
      </c>
      <c r="E27" s="535">
        <v>2531.9844048749464</v>
      </c>
      <c r="F27" s="535">
        <v>2273.7113724224828</v>
      </c>
      <c r="G27" s="535">
        <v>258.27303245246361</v>
      </c>
      <c r="H27" s="535">
        <v>52723.830837413872</v>
      </c>
      <c r="I27" s="535">
        <f t="shared" si="7"/>
        <v>24</v>
      </c>
      <c r="J27" s="535">
        <f t="shared" si="7"/>
        <v>4376697</v>
      </c>
      <c r="K27" s="535">
        <f t="shared" si="8"/>
        <v>1352.6021205866441</v>
      </c>
      <c r="L27" s="535">
        <f t="shared" si="8"/>
        <v>1073.8250879776701</v>
      </c>
      <c r="M27" s="535">
        <f t="shared" si="8"/>
        <v>278.77703260897471</v>
      </c>
      <c r="N27" s="535">
        <f t="shared" si="4"/>
        <v>52723.830837413872</v>
      </c>
      <c r="P27" s="538">
        <v>24</v>
      </c>
      <c r="Q27" s="536">
        <v>4352083</v>
      </c>
      <c r="R27" s="539">
        <v>1179.3822842883023</v>
      </c>
      <c r="S27" s="539">
        <v>1199.8862844448126</v>
      </c>
      <c r="T27" s="539">
        <v>-20.504000156511101</v>
      </c>
      <c r="U27" s="539">
        <v>51426.52929621128</v>
      </c>
    </row>
    <row r="28" spans="1:21" s="318" customFormat="1" ht="12" hidden="1" x14ac:dyDescent="0.2">
      <c r="A28" s="533">
        <v>20</v>
      </c>
      <c r="B28" s="543" t="s">
        <v>642</v>
      </c>
      <c r="C28" s="535">
        <v>24</v>
      </c>
      <c r="D28" s="535">
        <v>6156665</v>
      </c>
      <c r="E28" s="535">
        <v>4613.4925662049882</v>
      </c>
      <c r="F28" s="535">
        <v>2849.7760553803823</v>
      </c>
      <c r="G28" s="535">
        <v>1763.7165108246056</v>
      </c>
      <c r="H28" s="535">
        <v>77829.812934797708</v>
      </c>
      <c r="I28" s="535">
        <f t="shared" si="7"/>
        <v>24</v>
      </c>
      <c r="J28" s="535">
        <f t="shared" si="7"/>
        <v>6156665</v>
      </c>
      <c r="K28" s="535">
        <f t="shared" si="8"/>
        <v>2553.0312664189614</v>
      </c>
      <c r="L28" s="535">
        <f t="shared" si="8"/>
        <v>1280.3532464189539</v>
      </c>
      <c r="M28" s="535">
        <f t="shared" si="8"/>
        <v>1272.6780200000073</v>
      </c>
      <c r="N28" s="535">
        <f t="shared" si="4"/>
        <v>77829.812934797708</v>
      </c>
      <c r="P28" s="538">
        <v>24</v>
      </c>
      <c r="Q28" s="536">
        <v>6128989</v>
      </c>
      <c r="R28" s="539">
        <v>2060.4612997860268</v>
      </c>
      <c r="S28" s="539">
        <v>1569.4228089614285</v>
      </c>
      <c r="T28" s="539">
        <v>491.03849082459828</v>
      </c>
      <c r="U28" s="539">
        <v>75058.469899661824</v>
      </c>
    </row>
    <row r="29" spans="1:21" s="318" customFormat="1" ht="12" hidden="1" x14ac:dyDescent="0.2">
      <c r="A29" s="533">
        <v>21</v>
      </c>
      <c r="B29" s="543" t="s">
        <v>643</v>
      </c>
      <c r="C29" s="535">
        <v>21</v>
      </c>
      <c r="D29" s="535">
        <v>4992445</v>
      </c>
      <c r="E29" s="535">
        <v>3945.4603846424416</v>
      </c>
      <c r="F29" s="535">
        <v>1573.7752547709388</v>
      </c>
      <c r="G29" s="535">
        <v>2371.6851298715028</v>
      </c>
      <c r="H29" s="535">
        <v>46441.546383944282</v>
      </c>
      <c r="I29" s="535">
        <f t="shared" si="7"/>
        <v>21</v>
      </c>
      <c r="J29" s="535">
        <f t="shared" si="7"/>
        <v>4992445</v>
      </c>
      <c r="K29" s="535">
        <f t="shared" si="8"/>
        <v>2172.8616152149571</v>
      </c>
      <c r="L29" s="535">
        <f t="shared" si="8"/>
        <v>757.00344514590506</v>
      </c>
      <c r="M29" s="535">
        <f t="shared" si="8"/>
        <v>1415.858170069052</v>
      </c>
      <c r="N29" s="535">
        <f t="shared" si="4"/>
        <v>46441.546383944282</v>
      </c>
      <c r="P29" s="538">
        <v>20</v>
      </c>
      <c r="Q29" s="536">
        <v>4946766</v>
      </c>
      <c r="R29" s="539">
        <v>1772.5987694274843</v>
      </c>
      <c r="S29" s="539">
        <v>816.77180962503371</v>
      </c>
      <c r="T29" s="539">
        <v>955.82695980245069</v>
      </c>
      <c r="U29" s="539">
        <v>43872.108684429913</v>
      </c>
    </row>
    <row r="30" spans="1:21" s="318" customFormat="1" ht="12" hidden="1" x14ac:dyDescent="0.2">
      <c r="A30" s="533">
        <v>22</v>
      </c>
      <c r="B30" s="543" t="s">
        <v>644</v>
      </c>
      <c r="C30" s="535">
        <v>6</v>
      </c>
      <c r="D30" s="535">
        <v>503273</v>
      </c>
      <c r="E30" s="535">
        <v>59.405194674000001</v>
      </c>
      <c r="F30" s="535">
        <v>119.569558898</v>
      </c>
      <c r="G30" s="535">
        <v>-60.164364223999996</v>
      </c>
      <c r="H30" s="535">
        <v>4792.5929625078197</v>
      </c>
      <c r="I30" s="535">
        <f t="shared" si="7"/>
        <v>6</v>
      </c>
      <c r="J30" s="535">
        <f t="shared" si="7"/>
        <v>503273</v>
      </c>
      <c r="K30" s="535">
        <f t="shared" si="8"/>
        <v>31.516387037999998</v>
      </c>
      <c r="L30" s="535">
        <f t="shared" si="8"/>
        <v>59.648152772000003</v>
      </c>
      <c r="M30" s="535">
        <f t="shared" si="8"/>
        <v>-28.131765733999998</v>
      </c>
      <c r="N30" s="535">
        <f t="shared" si="4"/>
        <v>4792.5929625078197</v>
      </c>
      <c r="P30" s="538">
        <v>6</v>
      </c>
      <c r="Q30" s="536">
        <v>505530</v>
      </c>
      <c r="R30" s="539">
        <v>27.888807636000003</v>
      </c>
      <c r="S30" s="539">
        <v>59.921406125999994</v>
      </c>
      <c r="T30" s="539">
        <v>-32.032598489999998</v>
      </c>
      <c r="U30" s="539">
        <v>4825.6040010152628</v>
      </c>
    </row>
    <row r="31" spans="1:21" s="318" customFormat="1" ht="12" hidden="1" x14ac:dyDescent="0.2">
      <c r="A31" s="533">
        <v>23</v>
      </c>
      <c r="B31" s="543" t="s">
        <v>645</v>
      </c>
      <c r="C31" s="535">
        <v>18</v>
      </c>
      <c r="D31" s="535">
        <v>4448219</v>
      </c>
      <c r="E31" s="535">
        <v>2326.2988088729767</v>
      </c>
      <c r="F31" s="535">
        <v>2296.04092243577</v>
      </c>
      <c r="G31" s="535">
        <v>30.2578864372068</v>
      </c>
      <c r="H31" s="535">
        <v>59089.854769142818</v>
      </c>
      <c r="I31" s="535">
        <f t="shared" si="7"/>
        <v>18</v>
      </c>
      <c r="J31" s="535">
        <f t="shared" si="7"/>
        <v>4448219</v>
      </c>
      <c r="K31" s="535">
        <f t="shared" si="8"/>
        <v>1194.701339425995</v>
      </c>
      <c r="L31" s="535">
        <f t="shared" si="8"/>
        <v>1204.1301312245271</v>
      </c>
      <c r="M31" s="535">
        <f t="shared" si="8"/>
        <v>-9.4287917985323944</v>
      </c>
      <c r="N31" s="535">
        <f t="shared" si="4"/>
        <v>59089.854769142818</v>
      </c>
      <c r="P31" s="538">
        <v>18</v>
      </c>
      <c r="Q31" s="536">
        <v>4465360</v>
      </c>
      <c r="R31" s="539">
        <v>1131.5974694469817</v>
      </c>
      <c r="S31" s="539">
        <v>1091.9107912112429</v>
      </c>
      <c r="T31" s="539">
        <v>39.686678235739194</v>
      </c>
      <c r="U31" s="539">
        <v>58196.250973710485</v>
      </c>
    </row>
    <row r="32" spans="1:21" s="318" customFormat="1" ht="12" hidden="1" x14ac:dyDescent="0.2">
      <c r="A32" s="533">
        <v>24</v>
      </c>
      <c r="B32" s="543" t="s">
        <v>646</v>
      </c>
      <c r="C32" s="535">
        <v>19</v>
      </c>
      <c r="D32" s="535">
        <v>2928557</v>
      </c>
      <c r="E32" s="535">
        <v>3118.9804021886107</v>
      </c>
      <c r="F32" s="535">
        <v>1691.682377892007</v>
      </c>
      <c r="G32" s="535">
        <v>1427.2980242966037</v>
      </c>
      <c r="H32" s="535">
        <v>39812.172536976126</v>
      </c>
      <c r="I32" s="535">
        <f t="shared" si="7"/>
        <v>19</v>
      </c>
      <c r="J32" s="535">
        <f t="shared" si="7"/>
        <v>2928557</v>
      </c>
      <c r="K32" s="535">
        <f t="shared" si="8"/>
        <v>2032.7677831234719</v>
      </c>
      <c r="L32" s="535">
        <f t="shared" si="8"/>
        <v>833.03953609982511</v>
      </c>
      <c r="M32" s="535">
        <f t="shared" si="8"/>
        <v>1199.7282470236469</v>
      </c>
      <c r="N32" s="535">
        <f t="shared" si="4"/>
        <v>39812.172536976126</v>
      </c>
      <c r="P32" s="538">
        <v>18</v>
      </c>
      <c r="Q32" s="536">
        <v>2865887</v>
      </c>
      <c r="R32" s="539">
        <v>1086.2126190651388</v>
      </c>
      <c r="S32" s="539">
        <v>858.64284179218191</v>
      </c>
      <c r="T32" s="539">
        <v>227.56977727295691</v>
      </c>
      <c r="U32" s="539">
        <v>37392.524501782944</v>
      </c>
    </row>
    <row r="33" spans="1:21" s="318" customFormat="1" ht="12" hidden="1" x14ac:dyDescent="0.2">
      <c r="A33" s="533">
        <v>25</v>
      </c>
      <c r="B33" s="543" t="s">
        <v>647</v>
      </c>
      <c r="C33" s="535">
        <v>91</v>
      </c>
      <c r="D33" s="535">
        <v>6320405</v>
      </c>
      <c r="E33" s="535">
        <v>3223.3654366254441</v>
      </c>
      <c r="F33" s="535">
        <v>2595.6208218896954</v>
      </c>
      <c r="G33" s="535">
        <v>627.74461473574866</v>
      </c>
      <c r="H33" s="535">
        <v>63234.094903606921</v>
      </c>
      <c r="I33" s="535">
        <f t="shared" si="7"/>
        <v>91</v>
      </c>
      <c r="J33" s="535">
        <f t="shared" si="7"/>
        <v>6320405</v>
      </c>
      <c r="K33" s="535">
        <f t="shared" si="8"/>
        <v>1394.2430550018221</v>
      </c>
      <c r="L33" s="535">
        <f t="shared" si="8"/>
        <v>1333.6703476310031</v>
      </c>
      <c r="M33" s="535">
        <f t="shared" si="8"/>
        <v>60.572707370819103</v>
      </c>
      <c r="N33" s="535">
        <f t="shared" si="4"/>
        <v>63234.094903606921</v>
      </c>
      <c r="P33" s="538">
        <v>91</v>
      </c>
      <c r="Q33" s="536">
        <v>6317911</v>
      </c>
      <c r="R33" s="539">
        <v>1829.122381623622</v>
      </c>
      <c r="S33" s="539">
        <v>1261.9504742586923</v>
      </c>
      <c r="T33" s="539">
        <v>567.17190736492955</v>
      </c>
      <c r="U33" s="539">
        <v>62082.454334425907</v>
      </c>
    </row>
    <row r="34" spans="1:21" s="318" customFormat="1" ht="12" hidden="1" x14ac:dyDescent="0.2">
      <c r="A34" s="533">
        <v>26</v>
      </c>
      <c r="B34" s="543" t="s">
        <v>648</v>
      </c>
      <c r="C34" s="535">
        <v>43</v>
      </c>
      <c r="D34" s="535">
        <v>11545156</v>
      </c>
      <c r="E34" s="535">
        <v>2663.675950925825</v>
      </c>
      <c r="F34" s="535">
        <v>1688.6384043851183</v>
      </c>
      <c r="G34" s="535">
        <v>975.03754654070656</v>
      </c>
      <c r="H34" s="535">
        <v>94498.703027695359</v>
      </c>
      <c r="I34" s="535">
        <f t="shared" si="7"/>
        <v>43</v>
      </c>
      <c r="J34" s="535">
        <f t="shared" si="7"/>
        <v>11545156</v>
      </c>
      <c r="K34" s="535">
        <f t="shared" si="8"/>
        <v>1309.9280085740754</v>
      </c>
      <c r="L34" s="535">
        <f t="shared" si="8"/>
        <v>793.54190057224287</v>
      </c>
      <c r="M34" s="535">
        <f t="shared" si="8"/>
        <v>516.38610800183233</v>
      </c>
      <c r="N34" s="535">
        <f t="shared" si="4"/>
        <v>94498.703027695359</v>
      </c>
      <c r="P34" s="538">
        <v>43</v>
      </c>
      <c r="Q34" s="536">
        <v>11484832</v>
      </c>
      <c r="R34" s="539">
        <v>1353.7479423517495</v>
      </c>
      <c r="S34" s="539">
        <v>895.09650381287543</v>
      </c>
      <c r="T34" s="539">
        <v>458.65143853887423</v>
      </c>
      <c r="U34" s="539">
        <v>92043.504767546125</v>
      </c>
    </row>
    <row r="35" spans="1:21" s="318" customFormat="1" ht="36" hidden="1" x14ac:dyDescent="0.2">
      <c r="A35" s="533"/>
      <c r="B35" s="540" t="s">
        <v>649</v>
      </c>
      <c r="C35" s="535">
        <v>310</v>
      </c>
      <c r="D35" s="535">
        <v>58356738</v>
      </c>
      <c r="E35" s="535">
        <v>37014.514377690975</v>
      </c>
      <c r="F35" s="535">
        <v>26998.02297321906</v>
      </c>
      <c r="G35" s="535">
        <v>10016.49140447191</v>
      </c>
      <c r="H35" s="535">
        <v>724033.95865469798</v>
      </c>
      <c r="I35" s="535">
        <f t="shared" si="7"/>
        <v>310</v>
      </c>
      <c r="J35" s="535">
        <f t="shared" si="7"/>
        <v>58356738</v>
      </c>
      <c r="K35" s="535">
        <f t="shared" si="8"/>
        <v>19574.97727600269</v>
      </c>
      <c r="L35" s="535">
        <f t="shared" si="8"/>
        <v>14167.226904318351</v>
      </c>
      <c r="M35" s="535">
        <f t="shared" si="8"/>
        <v>5407.7503716843339</v>
      </c>
      <c r="N35" s="535">
        <f t="shared" si="4"/>
        <v>724033.95865469798</v>
      </c>
      <c r="P35" s="541">
        <v>307</v>
      </c>
      <c r="Q35" s="541">
        <v>57964822</v>
      </c>
      <c r="R35" s="542">
        <v>17439.537101688285</v>
      </c>
      <c r="S35" s="542">
        <v>12830.796068900709</v>
      </c>
      <c r="T35" s="542">
        <v>4608.7410327875759</v>
      </c>
      <c r="U35" s="542">
        <v>703549.77871863032</v>
      </c>
    </row>
    <row r="36" spans="1:21" s="318" customFormat="1" ht="12" hidden="1" x14ac:dyDescent="0.2">
      <c r="A36" s="533"/>
      <c r="B36" s="534"/>
      <c r="C36" s="535"/>
      <c r="D36" s="535"/>
      <c r="E36" s="535"/>
      <c r="F36" s="535"/>
      <c r="G36" s="535"/>
      <c r="H36" s="535"/>
      <c r="I36" s="535">
        <f t="shared" si="7"/>
        <v>0</v>
      </c>
      <c r="J36" s="535">
        <f t="shared" si="7"/>
        <v>0</v>
      </c>
      <c r="K36" s="535">
        <f t="shared" si="8"/>
        <v>0</v>
      </c>
      <c r="L36" s="535">
        <f t="shared" si="8"/>
        <v>0</v>
      </c>
      <c r="M36" s="535">
        <f t="shared" si="8"/>
        <v>0</v>
      </c>
      <c r="N36" s="535">
        <f t="shared" si="4"/>
        <v>0</v>
      </c>
      <c r="P36" s="536"/>
      <c r="Q36" s="536"/>
      <c r="R36" s="539"/>
      <c r="S36" s="539"/>
      <c r="T36" s="539"/>
      <c r="U36" s="539"/>
    </row>
    <row r="37" spans="1:21" s="318" customFormat="1" ht="12" x14ac:dyDescent="0.2">
      <c r="A37" s="533" t="s">
        <v>650</v>
      </c>
      <c r="B37" s="534" t="s">
        <v>651</v>
      </c>
      <c r="C37" s="535">
        <f>SUM(C38:C43)</f>
        <v>126</v>
      </c>
      <c r="D37" s="535">
        <f t="shared" ref="D37:H37" si="9">SUM(D38:D43)</f>
        <v>9625378</v>
      </c>
      <c r="E37" s="535">
        <f t="shared" si="9"/>
        <v>23213.953220472886</v>
      </c>
      <c r="F37" s="535">
        <f t="shared" si="9"/>
        <v>23563.034351637281</v>
      </c>
      <c r="G37" s="535">
        <f t="shared" si="9"/>
        <v>-349.08113116440018</v>
      </c>
      <c r="H37" s="535">
        <f t="shared" si="9"/>
        <v>342538.33280027664</v>
      </c>
      <c r="I37" s="535">
        <f>SUM(I38:I43)</f>
        <v>126</v>
      </c>
      <c r="J37" s="535">
        <f t="shared" ref="J37:N37" si="10">SUM(J38:J43)</f>
        <v>9625378</v>
      </c>
      <c r="K37" s="535">
        <f t="shared" si="10"/>
        <v>12954.870721979396</v>
      </c>
      <c r="L37" s="535">
        <f t="shared" si="10"/>
        <v>11689.122669010763</v>
      </c>
      <c r="M37" s="535">
        <f t="shared" si="10"/>
        <v>1265.7480529686254</v>
      </c>
      <c r="N37" s="535">
        <f t="shared" si="10"/>
        <v>342538.33280027664</v>
      </c>
      <c r="P37" s="536"/>
      <c r="Q37" s="536"/>
      <c r="R37" s="539"/>
      <c r="S37" s="539"/>
      <c r="T37" s="539"/>
      <c r="U37" s="539"/>
    </row>
    <row r="38" spans="1:21" s="318" customFormat="1" ht="12" hidden="1" x14ac:dyDescent="0.2">
      <c r="A38" s="533">
        <v>27</v>
      </c>
      <c r="B38" s="543" t="s">
        <v>652</v>
      </c>
      <c r="C38" s="535">
        <v>22</v>
      </c>
      <c r="D38" s="535">
        <v>434743</v>
      </c>
      <c r="E38" s="535">
        <v>291.78187074249558</v>
      </c>
      <c r="F38" s="535">
        <v>846.95442459504716</v>
      </c>
      <c r="G38" s="535">
        <v>-555.17255385255157</v>
      </c>
      <c r="H38" s="535">
        <v>15143.491206870363</v>
      </c>
      <c r="I38" s="535">
        <f t="shared" si="7"/>
        <v>22</v>
      </c>
      <c r="J38" s="535">
        <f t="shared" si="7"/>
        <v>434743</v>
      </c>
      <c r="K38" s="535">
        <f t="shared" si="8"/>
        <v>167.18821529429749</v>
      </c>
      <c r="L38" s="535">
        <f t="shared" si="8"/>
        <v>482.95953740405861</v>
      </c>
      <c r="M38" s="535">
        <f t="shared" si="8"/>
        <v>-315.77132210976106</v>
      </c>
      <c r="N38" s="535">
        <f t="shared" si="4"/>
        <v>15143.491206870363</v>
      </c>
      <c r="P38" s="538">
        <v>22</v>
      </c>
      <c r="Q38" s="536">
        <v>439456</v>
      </c>
      <c r="R38" s="539">
        <v>124.59365544819809</v>
      </c>
      <c r="S38" s="539">
        <v>363.99488719098855</v>
      </c>
      <c r="T38" s="539">
        <v>-239.40123174279054</v>
      </c>
      <c r="U38" s="539">
        <v>15227.815731530016</v>
      </c>
    </row>
    <row r="39" spans="1:21" s="318" customFormat="1" ht="24" hidden="1" x14ac:dyDescent="0.2">
      <c r="A39" s="533">
        <v>28</v>
      </c>
      <c r="B39" s="543" t="s">
        <v>653</v>
      </c>
      <c r="C39" s="535">
        <v>31</v>
      </c>
      <c r="D39" s="535">
        <v>5494897</v>
      </c>
      <c r="E39" s="535">
        <v>4414.7875756356079</v>
      </c>
      <c r="F39" s="535">
        <v>9017.3449581043733</v>
      </c>
      <c r="G39" s="535">
        <v>-4602.5573824687681</v>
      </c>
      <c r="H39" s="535">
        <v>146884.9103984439</v>
      </c>
      <c r="I39" s="535">
        <f t="shared" si="7"/>
        <v>31</v>
      </c>
      <c r="J39" s="535">
        <f t="shared" si="7"/>
        <v>5494897</v>
      </c>
      <c r="K39" s="535">
        <f t="shared" si="8"/>
        <v>2199.1238674862375</v>
      </c>
      <c r="L39" s="535">
        <f t="shared" si="8"/>
        <v>4680.2713824903831</v>
      </c>
      <c r="M39" s="535">
        <f t="shared" si="8"/>
        <v>-2481.1475150041488</v>
      </c>
      <c r="N39" s="535">
        <f t="shared" si="4"/>
        <v>146884.9103984439</v>
      </c>
      <c r="P39" s="538">
        <v>31</v>
      </c>
      <c r="Q39" s="536">
        <v>5526783</v>
      </c>
      <c r="R39" s="539">
        <v>2215.6637081493704</v>
      </c>
      <c r="S39" s="539">
        <v>4337.0735756139902</v>
      </c>
      <c r="T39" s="539">
        <v>-2121.4098674646193</v>
      </c>
      <c r="U39" s="539">
        <v>146292.12397307475</v>
      </c>
    </row>
    <row r="40" spans="1:21" s="318" customFormat="1" ht="24" hidden="1" x14ac:dyDescent="0.2">
      <c r="A40" s="533">
        <v>29</v>
      </c>
      <c r="B40" s="543" t="s">
        <v>654</v>
      </c>
      <c r="C40" s="535">
        <v>20</v>
      </c>
      <c r="D40" s="535">
        <v>2468283</v>
      </c>
      <c r="E40" s="535">
        <v>4376.0093930898247</v>
      </c>
      <c r="F40" s="535">
        <v>3880.0679910287686</v>
      </c>
      <c r="G40" s="535">
        <v>495.94140206105578</v>
      </c>
      <c r="H40" s="535">
        <v>94997.471492206401</v>
      </c>
      <c r="I40" s="535">
        <f t="shared" si="7"/>
        <v>20</v>
      </c>
      <c r="J40" s="535">
        <f t="shared" si="7"/>
        <v>2468283</v>
      </c>
      <c r="K40" s="535">
        <f t="shared" si="8"/>
        <v>2339.6461353260665</v>
      </c>
      <c r="L40" s="535">
        <f t="shared" si="8"/>
        <v>1998.3580982145872</v>
      </c>
      <c r="M40" s="535">
        <f t="shared" si="8"/>
        <v>341.28803711147907</v>
      </c>
      <c r="N40" s="535">
        <f t="shared" si="4"/>
        <v>94997.471492206401</v>
      </c>
      <c r="P40" s="538">
        <v>20</v>
      </c>
      <c r="Q40" s="536">
        <v>2458452</v>
      </c>
      <c r="R40" s="539">
        <v>2036.3632577637582</v>
      </c>
      <c r="S40" s="539">
        <v>1881.7098928141813</v>
      </c>
      <c r="T40" s="539">
        <v>154.65336494957668</v>
      </c>
      <c r="U40" s="539">
        <v>92832.567411297801</v>
      </c>
    </row>
    <row r="41" spans="1:21" s="318" customFormat="1" ht="12" hidden="1" x14ac:dyDescent="0.2">
      <c r="A41" s="533">
        <v>30</v>
      </c>
      <c r="B41" s="543" t="s">
        <v>655</v>
      </c>
      <c r="C41" s="535">
        <v>8</v>
      </c>
      <c r="D41" s="535">
        <v>612475</v>
      </c>
      <c r="E41" s="535">
        <v>568.95470827648285</v>
      </c>
      <c r="F41" s="535">
        <v>817.1439059764482</v>
      </c>
      <c r="G41" s="535">
        <v>-248.18919769996512</v>
      </c>
      <c r="H41" s="535">
        <v>12738.401530024448</v>
      </c>
      <c r="I41" s="535">
        <f t="shared" si="7"/>
        <v>8</v>
      </c>
      <c r="J41" s="535">
        <f t="shared" si="7"/>
        <v>612475</v>
      </c>
      <c r="K41" s="535">
        <f t="shared" si="8"/>
        <v>292.7791337459999</v>
      </c>
      <c r="L41" s="535">
        <f t="shared" si="8"/>
        <v>311.34512953252647</v>
      </c>
      <c r="M41" s="535">
        <f t="shared" si="8"/>
        <v>-18.5659957865264</v>
      </c>
      <c r="N41" s="535">
        <f t="shared" si="4"/>
        <v>12738.401530024448</v>
      </c>
      <c r="P41" s="538">
        <v>8</v>
      </c>
      <c r="Q41" s="536">
        <v>614524</v>
      </c>
      <c r="R41" s="539">
        <v>276.17557453048295</v>
      </c>
      <c r="S41" s="539">
        <v>505.79877644392172</v>
      </c>
      <c r="T41" s="539">
        <v>-229.62320191343872</v>
      </c>
      <c r="U41" s="539">
        <v>12610.236295532653</v>
      </c>
    </row>
    <row r="42" spans="1:21" s="318" customFormat="1" ht="12" hidden="1" x14ac:dyDescent="0.2">
      <c r="A42" s="533">
        <v>31</v>
      </c>
      <c r="B42" s="543" t="s">
        <v>656</v>
      </c>
      <c r="C42" s="535">
        <v>23</v>
      </c>
      <c r="D42" s="535">
        <v>256615</v>
      </c>
      <c r="E42" s="535">
        <v>13087.116382318833</v>
      </c>
      <c r="F42" s="535">
        <v>7003.6779106179984</v>
      </c>
      <c r="G42" s="535">
        <v>6083.4384717008306</v>
      </c>
      <c r="H42" s="535">
        <v>54632.840918019851</v>
      </c>
      <c r="I42" s="535">
        <f t="shared" si="7"/>
        <v>23</v>
      </c>
      <c r="J42" s="535">
        <f t="shared" si="7"/>
        <v>256615</v>
      </c>
      <c r="K42" s="535">
        <f t="shared" si="8"/>
        <v>7759.7369547430226</v>
      </c>
      <c r="L42" s="535">
        <f t="shared" si="8"/>
        <v>3205.3417732149992</v>
      </c>
      <c r="M42" s="535">
        <f t="shared" si="8"/>
        <v>4554.3951815280197</v>
      </c>
      <c r="N42" s="535">
        <f t="shared" si="4"/>
        <v>54632.840918019851</v>
      </c>
      <c r="P42" s="538">
        <v>23</v>
      </c>
      <c r="Q42" s="536">
        <v>252394</v>
      </c>
      <c r="R42" s="539">
        <v>5327.37942757581</v>
      </c>
      <c r="S42" s="539">
        <v>3798.3361374029992</v>
      </c>
      <c r="T42" s="539">
        <v>1529.0432901728109</v>
      </c>
      <c r="U42" s="539">
        <v>50494.586954539234</v>
      </c>
    </row>
    <row r="43" spans="1:21" s="318" customFormat="1" ht="12" hidden="1" x14ac:dyDescent="0.2">
      <c r="A43" s="533">
        <v>32</v>
      </c>
      <c r="B43" s="543" t="s">
        <v>657</v>
      </c>
      <c r="C43" s="535">
        <v>22</v>
      </c>
      <c r="D43" s="535">
        <v>358365</v>
      </c>
      <c r="E43" s="535">
        <v>475.303290409645</v>
      </c>
      <c r="F43" s="535">
        <v>1997.8451613146465</v>
      </c>
      <c r="G43" s="535">
        <v>-1522.5418709050018</v>
      </c>
      <c r="H43" s="535">
        <v>18141.217254711722</v>
      </c>
      <c r="I43" s="535">
        <f t="shared" si="7"/>
        <v>22</v>
      </c>
      <c r="J43" s="535">
        <f t="shared" si="7"/>
        <v>358365</v>
      </c>
      <c r="K43" s="535">
        <f t="shared" si="8"/>
        <v>196.39641538377145</v>
      </c>
      <c r="L43" s="535">
        <f t="shared" si="8"/>
        <v>1010.8467481542081</v>
      </c>
      <c r="M43" s="535">
        <f t="shared" si="8"/>
        <v>-814.45033277043683</v>
      </c>
      <c r="N43" s="535">
        <f t="shared" si="4"/>
        <v>18141.217254711722</v>
      </c>
      <c r="P43" s="538">
        <v>22</v>
      </c>
      <c r="Q43" s="536">
        <v>364908</v>
      </c>
      <c r="R43" s="539">
        <v>278.90687502587355</v>
      </c>
      <c r="S43" s="539">
        <v>986.99841316043842</v>
      </c>
      <c r="T43" s="539">
        <v>-708.09153813456498</v>
      </c>
      <c r="U43" s="539">
        <v>18749.294238249884</v>
      </c>
    </row>
    <row r="44" spans="1:21" s="318" customFormat="1" ht="24" hidden="1" x14ac:dyDescent="0.2">
      <c r="A44" s="533"/>
      <c r="B44" s="540" t="s">
        <v>658</v>
      </c>
      <c r="C44" s="535">
        <v>126</v>
      </c>
      <c r="D44" s="535">
        <v>9625378</v>
      </c>
      <c r="E44" s="535">
        <v>23213.953220472886</v>
      </c>
      <c r="F44" s="535">
        <v>23563.034351637281</v>
      </c>
      <c r="G44" s="535">
        <v>-349.08113116440018</v>
      </c>
      <c r="H44" s="535">
        <v>342538.33280027664</v>
      </c>
      <c r="I44" s="535">
        <f t="shared" si="7"/>
        <v>126</v>
      </c>
      <c r="J44" s="535">
        <f t="shared" si="7"/>
        <v>9625378</v>
      </c>
      <c r="K44" s="535">
        <f t="shared" si="8"/>
        <v>12954.870721979392</v>
      </c>
      <c r="L44" s="535">
        <f t="shared" si="8"/>
        <v>11689.122669010763</v>
      </c>
      <c r="M44" s="535">
        <f t="shared" si="8"/>
        <v>1265.7480529686254</v>
      </c>
      <c r="N44" s="535">
        <f t="shared" si="4"/>
        <v>342538.33280027664</v>
      </c>
      <c r="P44" s="541">
        <v>126</v>
      </c>
      <c r="Q44" s="541">
        <v>9656517</v>
      </c>
      <c r="R44" s="542">
        <v>10259.082498493493</v>
      </c>
      <c r="S44" s="542">
        <v>11873.911682626518</v>
      </c>
      <c r="T44" s="542">
        <v>-1614.8291841330256</v>
      </c>
      <c r="U44" s="542">
        <v>336206.62460422434</v>
      </c>
    </row>
    <row r="45" spans="1:21" s="318" customFormat="1" ht="12" hidden="1" x14ac:dyDescent="0.2">
      <c r="A45" s="533"/>
      <c r="B45" s="534"/>
      <c r="C45" s="535"/>
      <c r="D45" s="535"/>
      <c r="E45" s="535"/>
      <c r="F45" s="535"/>
      <c r="G45" s="535"/>
      <c r="H45" s="535"/>
      <c r="I45" s="535"/>
      <c r="J45" s="535"/>
      <c r="K45" s="535"/>
      <c r="L45" s="535"/>
      <c r="M45" s="535"/>
      <c r="N45" s="535"/>
      <c r="P45" s="536"/>
      <c r="Q45" s="536"/>
      <c r="R45" s="539"/>
      <c r="S45" s="539"/>
      <c r="T45" s="539"/>
      <c r="U45" s="539"/>
    </row>
    <row r="46" spans="1:21" s="318" customFormat="1" ht="12" x14ac:dyDescent="0.2">
      <c r="A46" s="533" t="s">
        <v>659</v>
      </c>
      <c r="B46" s="534" t="s">
        <v>660</v>
      </c>
      <c r="C46" s="535">
        <f>SUM(C47:C48)</f>
        <v>30</v>
      </c>
      <c r="D46" s="535">
        <f t="shared" ref="D46:H46" si="11">SUM(D47:D48)</f>
        <v>5380136</v>
      </c>
      <c r="E46" s="535">
        <f t="shared" si="11"/>
        <v>541.28226023499997</v>
      </c>
      <c r="F46" s="535">
        <f t="shared" si="11"/>
        <v>209.07296560223099</v>
      </c>
      <c r="G46" s="535">
        <f t="shared" si="11"/>
        <v>332.209294632769</v>
      </c>
      <c r="H46" s="535">
        <f t="shared" si="11"/>
        <v>16932.179789665191</v>
      </c>
      <c r="I46" s="535">
        <f>SUM(I47:I48)</f>
        <v>30</v>
      </c>
      <c r="J46" s="535">
        <f t="shared" ref="J46:N46" si="12">SUM(J47:J48)</f>
        <v>5380136</v>
      </c>
      <c r="K46" s="535">
        <f t="shared" si="12"/>
        <v>284.27739628199998</v>
      </c>
      <c r="L46" s="535">
        <f t="shared" si="12"/>
        <v>109.36274729726499</v>
      </c>
      <c r="M46" s="535">
        <f t="shared" si="12"/>
        <v>174.91464898473501</v>
      </c>
      <c r="N46" s="535">
        <f t="shared" si="12"/>
        <v>16932.179789665191</v>
      </c>
      <c r="P46" s="536"/>
      <c r="Q46" s="536"/>
      <c r="R46" s="539"/>
      <c r="S46" s="539"/>
      <c r="T46" s="539"/>
      <c r="U46" s="539"/>
    </row>
    <row r="47" spans="1:21" s="318" customFormat="1" ht="12" hidden="1" x14ac:dyDescent="0.2">
      <c r="A47" s="533">
        <v>33</v>
      </c>
      <c r="B47" s="543" t="s">
        <v>661</v>
      </c>
      <c r="C47" s="535">
        <v>21</v>
      </c>
      <c r="D47" s="535">
        <v>2496973</v>
      </c>
      <c r="E47" s="535">
        <v>371.542187179</v>
      </c>
      <c r="F47" s="535">
        <v>125.47794048399999</v>
      </c>
      <c r="G47" s="535">
        <v>246.06424669500001</v>
      </c>
      <c r="H47" s="535">
        <v>8646.5884436606739</v>
      </c>
      <c r="I47" s="535">
        <f t="shared" si="7"/>
        <v>21</v>
      </c>
      <c r="J47" s="535">
        <f t="shared" si="7"/>
        <v>2496973</v>
      </c>
      <c r="K47" s="535">
        <f t="shared" si="8"/>
        <v>187.09483187100003</v>
      </c>
      <c r="L47" s="535">
        <f t="shared" si="8"/>
        <v>66.887808308999979</v>
      </c>
      <c r="M47" s="535">
        <f t="shared" si="8"/>
        <v>120.20702356200002</v>
      </c>
      <c r="N47" s="535">
        <f t="shared" si="4"/>
        <v>8646.5884436606739</v>
      </c>
      <c r="P47" s="538">
        <v>21</v>
      </c>
      <c r="Q47" s="536">
        <v>2497702</v>
      </c>
      <c r="R47" s="539">
        <v>184.44735530799997</v>
      </c>
      <c r="S47" s="539">
        <v>58.590132175000008</v>
      </c>
      <c r="T47" s="539">
        <v>125.85722313299999</v>
      </c>
      <c r="U47" s="539">
        <v>8376.1913584960985</v>
      </c>
    </row>
    <row r="48" spans="1:21" s="318" customFormat="1" ht="12" hidden="1" x14ac:dyDescent="0.2">
      <c r="A48" s="533">
        <v>34</v>
      </c>
      <c r="B48" s="543" t="s">
        <v>662</v>
      </c>
      <c r="C48" s="535">
        <v>9</v>
      </c>
      <c r="D48" s="535">
        <v>2883163</v>
      </c>
      <c r="E48" s="535">
        <v>169.74007305599997</v>
      </c>
      <c r="F48" s="535">
        <v>83.595025118231007</v>
      </c>
      <c r="G48" s="535">
        <v>86.145047937768993</v>
      </c>
      <c r="H48" s="535">
        <v>8285.5913460045194</v>
      </c>
      <c r="I48" s="535">
        <f t="shared" si="7"/>
        <v>9</v>
      </c>
      <c r="J48" s="535">
        <f t="shared" si="7"/>
        <v>2883163</v>
      </c>
      <c r="K48" s="535">
        <f t="shared" si="8"/>
        <v>97.182564410999959</v>
      </c>
      <c r="L48" s="535">
        <f t="shared" si="8"/>
        <v>42.474938988265009</v>
      </c>
      <c r="M48" s="535">
        <f t="shared" si="8"/>
        <v>54.707625422734992</v>
      </c>
      <c r="N48" s="535">
        <f t="shared" si="4"/>
        <v>8285.5913460045194</v>
      </c>
      <c r="P48" s="538">
        <v>9</v>
      </c>
      <c r="Q48" s="536">
        <v>2790432</v>
      </c>
      <c r="R48" s="539">
        <v>72.557508645000013</v>
      </c>
      <c r="S48" s="539">
        <v>41.120086129965998</v>
      </c>
      <c r="T48" s="539">
        <v>31.437422515034001</v>
      </c>
      <c r="U48" s="539">
        <v>8101.5763001364812</v>
      </c>
    </row>
    <row r="49" spans="1:22" s="318" customFormat="1" ht="12" hidden="1" x14ac:dyDescent="0.2">
      <c r="A49" s="533"/>
      <c r="B49" s="540" t="s">
        <v>663</v>
      </c>
      <c r="C49" s="535">
        <v>30</v>
      </c>
      <c r="D49" s="535">
        <v>5380136</v>
      </c>
      <c r="E49" s="535">
        <v>541.28226023499997</v>
      </c>
      <c r="F49" s="535">
        <v>209.07296560223099</v>
      </c>
      <c r="G49" s="535">
        <v>332.209294632769</v>
      </c>
      <c r="H49" s="535">
        <v>16932.179789665191</v>
      </c>
      <c r="I49" s="535">
        <f t="shared" si="7"/>
        <v>30</v>
      </c>
      <c r="J49" s="535">
        <f t="shared" si="7"/>
        <v>5380136</v>
      </c>
      <c r="K49" s="535">
        <f t="shared" si="8"/>
        <v>284.27739628199998</v>
      </c>
      <c r="L49" s="535">
        <f t="shared" si="8"/>
        <v>109.36274729726499</v>
      </c>
      <c r="M49" s="535">
        <f t="shared" si="8"/>
        <v>174.91464898473501</v>
      </c>
      <c r="N49" s="535">
        <f t="shared" si="4"/>
        <v>16932.179789665191</v>
      </c>
      <c r="P49" s="541">
        <v>30</v>
      </c>
      <c r="Q49" s="541">
        <v>5288134</v>
      </c>
      <c r="R49" s="542">
        <v>257.00486395299998</v>
      </c>
      <c r="S49" s="542">
        <v>99.710218304966006</v>
      </c>
      <c r="T49" s="542">
        <v>157.29464564803399</v>
      </c>
      <c r="U49" s="542">
        <v>16477.76765863258</v>
      </c>
    </row>
    <row r="50" spans="1:22" s="318" customFormat="1" ht="12" hidden="1" x14ac:dyDescent="0.2">
      <c r="A50" s="533"/>
      <c r="B50" s="534"/>
      <c r="C50" s="535"/>
      <c r="D50" s="535"/>
      <c r="E50" s="535"/>
      <c r="F50" s="535"/>
      <c r="G50" s="535"/>
      <c r="H50" s="535"/>
      <c r="I50" s="535"/>
      <c r="J50" s="535"/>
      <c r="K50" s="535"/>
      <c r="L50" s="535"/>
      <c r="M50" s="535"/>
      <c r="N50" s="535"/>
      <c r="P50" s="536"/>
      <c r="Q50" s="536"/>
      <c r="R50" s="539"/>
      <c r="S50" s="539"/>
      <c r="T50" s="539"/>
      <c r="U50" s="539"/>
    </row>
    <row r="51" spans="1:22" s="318" customFormat="1" ht="12" x14ac:dyDescent="0.2">
      <c r="A51" s="533" t="s">
        <v>664</v>
      </c>
      <c r="B51" s="534" t="s">
        <v>665</v>
      </c>
      <c r="C51" s="535">
        <f>SUM(C52:C55)</f>
        <v>133</v>
      </c>
      <c r="D51" s="535">
        <f t="shared" ref="D51:H51" si="13">SUM(D52:D55)</f>
        <v>1653328</v>
      </c>
      <c r="E51" s="535">
        <f t="shared" si="13"/>
        <v>10302.170203137835</v>
      </c>
      <c r="F51" s="535">
        <f t="shared" si="13"/>
        <v>11881.817496600977</v>
      </c>
      <c r="G51" s="535">
        <f t="shared" si="13"/>
        <v>-1579.6472934631408</v>
      </c>
      <c r="H51" s="535">
        <f t="shared" si="13"/>
        <v>148952.04015068084</v>
      </c>
      <c r="I51" s="535">
        <f>SUM(I52:I55)</f>
        <v>133</v>
      </c>
      <c r="J51" s="535">
        <f t="shared" ref="J51:N51" si="14">SUM(J52:J55)</f>
        <v>1653328</v>
      </c>
      <c r="K51" s="535">
        <f t="shared" si="14"/>
        <v>6974.9322843196005</v>
      </c>
      <c r="L51" s="535">
        <f t="shared" si="14"/>
        <v>4324.1388359314533</v>
      </c>
      <c r="M51" s="535">
        <f t="shared" si="14"/>
        <v>2650.7934483881472</v>
      </c>
      <c r="N51" s="535">
        <f t="shared" si="14"/>
        <v>148952.04015068084</v>
      </c>
      <c r="P51" s="536"/>
      <c r="Q51" s="536"/>
      <c r="R51" s="539"/>
      <c r="S51" s="539"/>
      <c r="T51" s="539"/>
      <c r="U51" s="539"/>
    </row>
    <row r="52" spans="1:22" s="318" customFormat="1" ht="12" hidden="1" x14ac:dyDescent="0.2">
      <c r="A52" s="533">
        <v>35</v>
      </c>
      <c r="B52" s="534" t="s">
        <v>666</v>
      </c>
      <c r="C52" s="535">
        <v>25</v>
      </c>
      <c r="D52" s="535">
        <v>301684</v>
      </c>
      <c r="E52" s="535">
        <v>714.78507379597022</v>
      </c>
      <c r="F52" s="535">
        <v>477.20111243620568</v>
      </c>
      <c r="G52" s="535">
        <v>237.5839613597646</v>
      </c>
      <c r="H52" s="535">
        <v>5587.2154693853763</v>
      </c>
      <c r="I52" s="535">
        <f t="shared" si="7"/>
        <v>25</v>
      </c>
      <c r="J52" s="535">
        <f t="shared" si="7"/>
        <v>301684</v>
      </c>
      <c r="K52" s="535">
        <f t="shared" si="8"/>
        <v>453.12811183646204</v>
      </c>
      <c r="L52" s="535">
        <f t="shared" si="8"/>
        <v>233.47757125391658</v>
      </c>
      <c r="M52" s="535">
        <f t="shared" si="8"/>
        <v>219.65054058254552</v>
      </c>
      <c r="N52" s="535">
        <f t="shared" si="4"/>
        <v>5587.2154693853763</v>
      </c>
      <c r="P52" s="538">
        <v>25</v>
      </c>
      <c r="Q52" s="536">
        <v>288137</v>
      </c>
      <c r="R52" s="539">
        <v>261.65696195950818</v>
      </c>
      <c r="S52" s="539">
        <v>243.7235411822891</v>
      </c>
      <c r="T52" s="539">
        <v>17.933420777219084</v>
      </c>
      <c r="U52" s="539">
        <v>5286.3403475579807</v>
      </c>
    </row>
    <row r="53" spans="1:22" s="318" customFormat="1" ht="12" hidden="1" x14ac:dyDescent="0.2">
      <c r="A53" s="533">
        <v>36</v>
      </c>
      <c r="B53" s="534" t="s">
        <v>667</v>
      </c>
      <c r="C53" s="535">
        <v>12</v>
      </c>
      <c r="D53" s="535">
        <v>324385</v>
      </c>
      <c r="E53" s="535">
        <v>24.77706671</v>
      </c>
      <c r="F53" s="535">
        <v>60.593880346327971</v>
      </c>
      <c r="G53" s="535">
        <v>-35.816813636327971</v>
      </c>
      <c r="H53" s="535">
        <v>4606.6946617403719</v>
      </c>
      <c r="I53" s="535">
        <f t="shared" si="7"/>
        <v>12</v>
      </c>
      <c r="J53" s="535">
        <f t="shared" si="7"/>
        <v>324385</v>
      </c>
      <c r="K53" s="535">
        <f t="shared" si="8"/>
        <v>20.24817702</v>
      </c>
      <c r="L53" s="535">
        <f t="shared" si="8"/>
        <v>46.361217400396654</v>
      </c>
      <c r="M53" s="535">
        <f t="shared" si="8"/>
        <v>-26.113040380396651</v>
      </c>
      <c r="N53" s="535">
        <f t="shared" si="4"/>
        <v>4606.6946617403719</v>
      </c>
      <c r="P53" s="538">
        <v>12</v>
      </c>
      <c r="Q53" s="536">
        <v>319863</v>
      </c>
      <c r="R53" s="539">
        <v>4.5288896899999997</v>
      </c>
      <c r="S53" s="539">
        <v>14.23266294593132</v>
      </c>
      <c r="T53" s="539">
        <v>-9.7037732559313206</v>
      </c>
      <c r="U53" s="539">
        <v>4594.0641911612038</v>
      </c>
    </row>
    <row r="54" spans="1:22" s="318" customFormat="1" ht="12" hidden="1" x14ac:dyDescent="0.2">
      <c r="A54" s="533">
        <v>37</v>
      </c>
      <c r="B54" s="534" t="s">
        <v>668</v>
      </c>
      <c r="C54" s="535">
        <v>67</v>
      </c>
      <c r="D54" s="535">
        <v>900305</v>
      </c>
      <c r="E54" s="535">
        <v>9458.9578895540017</v>
      </c>
      <c r="F54" s="535">
        <v>11285.849593466</v>
      </c>
      <c r="G54" s="535">
        <v>-1826.8917039119985</v>
      </c>
      <c r="H54" s="535">
        <v>136865.43249686461</v>
      </c>
      <c r="I54" s="535">
        <f t="shared" si="7"/>
        <v>67</v>
      </c>
      <c r="J54" s="535">
        <f t="shared" si="7"/>
        <v>900305</v>
      </c>
      <c r="K54" s="535">
        <f t="shared" si="8"/>
        <v>6451.8360677270011</v>
      </c>
      <c r="L54" s="535">
        <f t="shared" si="8"/>
        <v>4019.4344374539996</v>
      </c>
      <c r="M54" s="535">
        <f t="shared" si="8"/>
        <v>2432.4016302730015</v>
      </c>
      <c r="N54" s="535">
        <f t="shared" si="4"/>
        <v>136865.43249686461</v>
      </c>
      <c r="P54" s="538">
        <v>67</v>
      </c>
      <c r="Q54" s="536">
        <v>906290</v>
      </c>
      <c r="R54" s="539">
        <v>3007.1218218270005</v>
      </c>
      <c r="S54" s="539">
        <v>7266.4151560120008</v>
      </c>
      <c r="T54" s="539">
        <v>-4259.2933341850003</v>
      </c>
      <c r="U54" s="539">
        <v>131188.70572710753</v>
      </c>
    </row>
    <row r="55" spans="1:22" s="318" customFormat="1" ht="12" hidden="1" x14ac:dyDescent="0.2">
      <c r="A55" s="533">
        <v>38</v>
      </c>
      <c r="B55" s="534" t="s">
        <v>669</v>
      </c>
      <c r="C55" s="535">
        <v>29</v>
      </c>
      <c r="D55" s="535">
        <v>126954</v>
      </c>
      <c r="E55" s="535">
        <v>103.65017307786414</v>
      </c>
      <c r="F55" s="535">
        <v>58.172910352443026</v>
      </c>
      <c r="G55" s="535">
        <v>45.47726272542112</v>
      </c>
      <c r="H55" s="535">
        <v>1892.6975226904824</v>
      </c>
      <c r="I55" s="535">
        <f t="shared" si="7"/>
        <v>29</v>
      </c>
      <c r="J55" s="535">
        <f t="shared" si="7"/>
        <v>126954</v>
      </c>
      <c r="K55" s="535">
        <f t="shared" si="8"/>
        <v>49.719927736137251</v>
      </c>
      <c r="L55" s="535">
        <f t="shared" si="8"/>
        <v>24.865609823140076</v>
      </c>
      <c r="M55" s="535">
        <f t="shared" si="8"/>
        <v>24.854317912997189</v>
      </c>
      <c r="N55" s="535">
        <f t="shared" si="4"/>
        <v>1892.6975226904824</v>
      </c>
      <c r="P55" s="538">
        <v>29</v>
      </c>
      <c r="Q55" s="536">
        <v>125594</v>
      </c>
      <c r="R55" s="539">
        <v>53.930245341726888</v>
      </c>
      <c r="S55" s="539">
        <v>33.30730052930295</v>
      </c>
      <c r="T55" s="539">
        <v>20.622944812423931</v>
      </c>
      <c r="U55" s="539">
        <v>1951.0490338625559</v>
      </c>
    </row>
    <row r="56" spans="1:22" s="318" customFormat="1" ht="12" hidden="1" x14ac:dyDescent="0.2">
      <c r="A56" s="533"/>
      <c r="B56" s="540" t="s">
        <v>670</v>
      </c>
      <c r="C56" s="535">
        <v>133</v>
      </c>
      <c r="D56" s="535">
        <v>1653328</v>
      </c>
      <c r="E56" s="535">
        <v>10302.170203137835</v>
      </c>
      <c r="F56" s="535">
        <v>11881.817496600977</v>
      </c>
      <c r="G56" s="535">
        <v>-1579.6472934631408</v>
      </c>
      <c r="H56" s="535">
        <v>148952.04015068084</v>
      </c>
      <c r="I56" s="535">
        <f t="shared" si="7"/>
        <v>133</v>
      </c>
      <c r="J56" s="535">
        <f t="shared" si="7"/>
        <v>1653328</v>
      </c>
      <c r="K56" s="535">
        <f t="shared" si="8"/>
        <v>6974.9322843196005</v>
      </c>
      <c r="L56" s="535">
        <f t="shared" si="8"/>
        <v>4324.1388359314533</v>
      </c>
      <c r="M56" s="535">
        <f t="shared" si="8"/>
        <v>2650.7934483881472</v>
      </c>
      <c r="N56" s="535">
        <f t="shared" si="4"/>
        <v>148952.04015068084</v>
      </c>
      <c r="P56" s="541">
        <v>133</v>
      </c>
      <c r="Q56" s="541">
        <v>1639884</v>
      </c>
      <c r="R56" s="542">
        <v>3327.2379188182354</v>
      </c>
      <c r="S56" s="542">
        <v>7557.6786606695241</v>
      </c>
      <c r="T56" s="542">
        <v>-4230.4407418512883</v>
      </c>
      <c r="U56" s="542">
        <v>143020.15929968929</v>
      </c>
    </row>
    <row r="57" spans="1:22" s="318" customFormat="1" ht="12" hidden="1" x14ac:dyDescent="0.2">
      <c r="A57" s="533"/>
      <c r="B57" s="534"/>
      <c r="C57" s="535"/>
      <c r="D57" s="535"/>
      <c r="E57" s="535"/>
      <c r="F57" s="535"/>
      <c r="G57" s="535"/>
      <c r="H57" s="535"/>
      <c r="I57" s="535">
        <f t="shared" si="7"/>
        <v>0</v>
      </c>
      <c r="J57" s="535">
        <f t="shared" si="7"/>
        <v>0</v>
      </c>
      <c r="K57" s="535">
        <f t="shared" si="8"/>
        <v>0</v>
      </c>
      <c r="L57" s="535">
        <f t="shared" si="8"/>
        <v>0</v>
      </c>
      <c r="M57" s="535">
        <f t="shared" si="8"/>
        <v>0</v>
      </c>
      <c r="N57" s="535">
        <f t="shared" si="4"/>
        <v>0</v>
      </c>
      <c r="P57" s="536"/>
      <c r="Q57" s="536"/>
      <c r="R57" s="539"/>
      <c r="S57" s="539"/>
      <c r="T57" s="539"/>
      <c r="U57" s="539"/>
    </row>
    <row r="58" spans="1:22" s="318" customFormat="1" ht="12" x14ac:dyDescent="0.2">
      <c r="A58" s="533"/>
      <c r="B58" s="534" t="s">
        <v>671</v>
      </c>
      <c r="C58" s="535">
        <v>905</v>
      </c>
      <c r="D58" s="535">
        <v>80255482</v>
      </c>
      <c r="E58" s="535">
        <v>4159579.1650190204</v>
      </c>
      <c r="F58" s="535">
        <v>3960119.3512147926</v>
      </c>
      <c r="G58" s="535">
        <v>199459.81380422716</v>
      </c>
      <c r="H58" s="535">
        <v>2402706.7251637504</v>
      </c>
      <c r="I58" s="535">
        <f t="shared" si="7"/>
        <v>905</v>
      </c>
      <c r="J58" s="535">
        <f t="shared" si="7"/>
        <v>80255482</v>
      </c>
      <c r="K58" s="535">
        <f>E58-R58</f>
        <v>2286447.623867244</v>
      </c>
      <c r="L58" s="535">
        <f t="shared" si="8"/>
        <v>2206828.9744695928</v>
      </c>
      <c r="M58" s="535">
        <f t="shared" si="8"/>
        <v>79618.649397650312</v>
      </c>
      <c r="N58" s="535">
        <f t="shared" si="4"/>
        <v>2402706.7251637504</v>
      </c>
      <c r="P58" s="544">
        <v>899</v>
      </c>
      <c r="Q58" s="544">
        <v>79725429</v>
      </c>
      <c r="R58" s="542">
        <v>1873131.5411517764</v>
      </c>
      <c r="S58" s="542">
        <v>1753290.3767451998</v>
      </c>
      <c r="T58" s="542">
        <v>119841.16440657685</v>
      </c>
      <c r="U58" s="542">
        <v>2287594.3991135499</v>
      </c>
    </row>
    <row r="59" spans="1:22" s="318" customFormat="1" ht="12" x14ac:dyDescent="0.2">
      <c r="A59" s="533"/>
      <c r="B59" s="534"/>
      <c r="C59" s="535"/>
      <c r="D59" s="535"/>
      <c r="E59" s="535"/>
      <c r="F59" s="535"/>
      <c r="G59" s="535"/>
      <c r="H59" s="535"/>
      <c r="I59" s="535"/>
      <c r="J59" s="535"/>
      <c r="K59" s="535"/>
      <c r="L59" s="535"/>
      <c r="M59" s="535"/>
      <c r="N59" s="535"/>
      <c r="P59" s="536"/>
      <c r="Q59" s="536"/>
      <c r="R59" s="539"/>
      <c r="S59" s="539"/>
      <c r="T59" s="539"/>
      <c r="U59" s="539"/>
    </row>
    <row r="60" spans="1:22" s="263" customFormat="1" ht="12" x14ac:dyDescent="0.2">
      <c r="A60" s="530" t="s">
        <v>672</v>
      </c>
      <c r="B60" s="531" t="s">
        <v>673</v>
      </c>
      <c r="C60" s="545"/>
      <c r="D60" s="545"/>
      <c r="E60" s="545"/>
      <c r="F60" s="545"/>
      <c r="G60" s="545"/>
      <c r="H60" s="545"/>
      <c r="I60" s="545"/>
      <c r="J60" s="545"/>
      <c r="K60" s="545"/>
      <c r="L60" s="545"/>
      <c r="M60" s="545"/>
      <c r="N60" s="545"/>
      <c r="P60" s="544"/>
      <c r="Q60" s="544"/>
      <c r="R60" s="542"/>
      <c r="S60" s="542"/>
      <c r="T60" s="542"/>
      <c r="U60" s="542"/>
    </row>
    <row r="61" spans="1:22" s="318" customFormat="1" ht="12" x14ac:dyDescent="0.2">
      <c r="A61" s="533" t="s">
        <v>618</v>
      </c>
      <c r="B61" s="534" t="s">
        <v>619</v>
      </c>
      <c r="C61" s="535">
        <f>SUM(C62:C65)</f>
        <v>898</v>
      </c>
      <c r="D61" s="535">
        <f t="shared" ref="D61:H61" si="15">SUM(D62:D65)</f>
        <v>1194866</v>
      </c>
      <c r="E61" s="535">
        <f t="shared" si="15"/>
        <v>1219.1912355540001</v>
      </c>
      <c r="F61" s="535">
        <f t="shared" si="15"/>
        <v>22170.042489929754</v>
      </c>
      <c r="G61" s="535">
        <f t="shared" si="15"/>
        <v>-20950.851254375753</v>
      </c>
      <c r="H61" s="535">
        <f t="shared" si="15"/>
        <v>154124.49382670264</v>
      </c>
      <c r="I61" s="535">
        <f>SUM(I62:I65)</f>
        <v>898</v>
      </c>
      <c r="J61" s="535">
        <f t="shared" ref="J61:N61" si="16">SUM(J62:J65)</f>
        <v>1194866</v>
      </c>
      <c r="K61" s="535">
        <f t="shared" si="16"/>
        <v>834.74052027200003</v>
      </c>
      <c r="L61" s="535">
        <f t="shared" si="16"/>
        <v>2835.8366625328463</v>
      </c>
      <c r="M61" s="535">
        <f t="shared" si="16"/>
        <v>-2001.0961422608466</v>
      </c>
      <c r="N61" s="535">
        <f t="shared" si="16"/>
        <v>154124.49382670264</v>
      </c>
      <c r="P61" s="536"/>
      <c r="Q61" s="536"/>
      <c r="R61" s="539"/>
      <c r="S61" s="539"/>
      <c r="T61" s="539"/>
      <c r="U61" s="539"/>
      <c r="V61" s="556"/>
    </row>
    <row r="62" spans="1:22" s="318" customFormat="1" ht="12" hidden="1" x14ac:dyDescent="0.2">
      <c r="A62" s="533" t="s">
        <v>674</v>
      </c>
      <c r="B62" s="534" t="s">
        <v>675</v>
      </c>
      <c r="C62" s="535">
        <v>790</v>
      </c>
      <c r="D62" s="535">
        <v>917936</v>
      </c>
      <c r="E62" s="535">
        <v>1120.734016266</v>
      </c>
      <c r="F62" s="535">
        <v>20563.086407968858</v>
      </c>
      <c r="G62" s="535">
        <v>-19442.352391702858</v>
      </c>
      <c r="H62" s="535">
        <v>140788.24639551135</v>
      </c>
      <c r="I62" s="535">
        <f t="shared" si="7"/>
        <v>790</v>
      </c>
      <c r="J62" s="535">
        <f t="shared" si="7"/>
        <v>917936</v>
      </c>
      <c r="K62" s="535">
        <f t="shared" si="8"/>
        <v>736.28330098399999</v>
      </c>
      <c r="L62" s="535">
        <f t="shared" si="8"/>
        <v>2534.2204490027543</v>
      </c>
      <c r="M62" s="535">
        <f t="shared" si="8"/>
        <v>-1797.9371480187547</v>
      </c>
      <c r="N62" s="535">
        <f t="shared" si="4"/>
        <v>140788.24639551135</v>
      </c>
      <c r="P62" s="538">
        <v>800</v>
      </c>
      <c r="Q62" s="536">
        <v>916839</v>
      </c>
      <c r="R62" s="539">
        <v>384.45071528200003</v>
      </c>
      <c r="S62" s="539">
        <v>18028.865958966104</v>
      </c>
      <c r="T62" s="539">
        <v>-17644.415243684103</v>
      </c>
      <c r="U62" s="539">
        <v>141170.57805286782</v>
      </c>
      <c r="V62" s="556"/>
    </row>
    <row r="63" spans="1:22" s="318" customFormat="1" ht="12" hidden="1" x14ac:dyDescent="0.2">
      <c r="A63" s="533" t="s">
        <v>676</v>
      </c>
      <c r="B63" s="534" t="s">
        <v>677</v>
      </c>
      <c r="C63" s="535">
        <v>42</v>
      </c>
      <c r="D63" s="535">
        <v>150144</v>
      </c>
      <c r="E63" s="535">
        <v>98.457219288000005</v>
      </c>
      <c r="F63" s="535">
        <v>607.66936190880392</v>
      </c>
      <c r="G63" s="535">
        <v>-509.21214262080389</v>
      </c>
      <c r="H63" s="535">
        <v>5717.0238239233549</v>
      </c>
      <c r="I63" s="535">
        <f t="shared" si="7"/>
        <v>42</v>
      </c>
      <c r="J63" s="535">
        <f t="shared" si="7"/>
        <v>150144</v>
      </c>
      <c r="K63" s="535">
        <f t="shared" si="8"/>
        <v>98.457219288000005</v>
      </c>
      <c r="L63" s="535">
        <f t="shared" si="8"/>
        <v>1.9326762412674725E-12</v>
      </c>
      <c r="M63" s="535">
        <f t="shared" si="8"/>
        <v>98.4572192879981</v>
      </c>
      <c r="N63" s="535">
        <f t="shared" si="4"/>
        <v>5717.0238239233549</v>
      </c>
      <c r="P63" s="538">
        <v>41</v>
      </c>
      <c r="Q63" s="536">
        <v>147978</v>
      </c>
      <c r="R63" s="539">
        <v>0</v>
      </c>
      <c r="S63" s="539">
        <v>607.66936190880199</v>
      </c>
      <c r="T63" s="539">
        <v>-607.66936190880199</v>
      </c>
      <c r="U63" s="539">
        <v>5572.4234576050567</v>
      </c>
      <c r="V63" s="556"/>
    </row>
    <row r="64" spans="1:22" s="318" customFormat="1" ht="12" hidden="1" x14ac:dyDescent="0.2">
      <c r="A64" s="533" t="s">
        <v>678</v>
      </c>
      <c r="B64" s="534" t="s">
        <v>679</v>
      </c>
      <c r="C64" s="535">
        <v>9</v>
      </c>
      <c r="D64" s="535">
        <v>89</v>
      </c>
      <c r="E64" s="535">
        <v>0</v>
      </c>
      <c r="F64" s="535">
        <v>314.72242813100002</v>
      </c>
      <c r="G64" s="535">
        <v>-314.72242813100002</v>
      </c>
      <c r="H64" s="535">
        <v>2353.5879097128191</v>
      </c>
      <c r="I64" s="535">
        <f t="shared" si="7"/>
        <v>9</v>
      </c>
      <c r="J64" s="535">
        <f t="shared" si="7"/>
        <v>89</v>
      </c>
      <c r="K64" s="535">
        <f t="shared" si="8"/>
        <v>0</v>
      </c>
      <c r="L64" s="535">
        <f t="shared" si="8"/>
        <v>0</v>
      </c>
      <c r="M64" s="535">
        <f t="shared" si="8"/>
        <v>0</v>
      </c>
      <c r="N64" s="535">
        <f t="shared" si="4"/>
        <v>2353.5879097128191</v>
      </c>
      <c r="P64" s="538">
        <v>9</v>
      </c>
      <c r="Q64" s="536">
        <v>89</v>
      </c>
      <c r="R64" s="539">
        <v>0</v>
      </c>
      <c r="S64" s="539">
        <v>314.72242813100002</v>
      </c>
      <c r="T64" s="539">
        <v>-314.72242813100002</v>
      </c>
      <c r="U64" s="539">
        <v>2348.64719388806</v>
      </c>
      <c r="V64" s="556"/>
    </row>
    <row r="65" spans="1:22" s="318" customFormat="1" ht="12" hidden="1" x14ac:dyDescent="0.2">
      <c r="A65" s="533" t="s">
        <v>680</v>
      </c>
      <c r="B65" s="534" t="s">
        <v>681</v>
      </c>
      <c r="C65" s="535">
        <v>57</v>
      </c>
      <c r="D65" s="535">
        <v>126697</v>
      </c>
      <c r="E65" s="535">
        <v>0</v>
      </c>
      <c r="F65" s="535">
        <v>684.5642919210901</v>
      </c>
      <c r="G65" s="535">
        <v>-684.5642919210901</v>
      </c>
      <c r="H65" s="535">
        <v>5265.6356975551562</v>
      </c>
      <c r="I65" s="535">
        <f t="shared" si="7"/>
        <v>57</v>
      </c>
      <c r="J65" s="535">
        <f t="shared" si="7"/>
        <v>126697</v>
      </c>
      <c r="K65" s="535">
        <f t="shared" si="8"/>
        <v>0</v>
      </c>
      <c r="L65" s="535">
        <f t="shared" si="8"/>
        <v>301.61621353009008</v>
      </c>
      <c r="M65" s="535">
        <f t="shared" si="8"/>
        <v>-301.61621353009008</v>
      </c>
      <c r="N65" s="535">
        <f t="shared" si="4"/>
        <v>5265.6356975551562</v>
      </c>
      <c r="P65" s="538">
        <v>62</v>
      </c>
      <c r="Q65" s="536">
        <v>134275</v>
      </c>
      <c r="R65" s="539">
        <v>0</v>
      </c>
      <c r="S65" s="539">
        <v>382.94807839100002</v>
      </c>
      <c r="T65" s="539">
        <v>-382.94807839100002</v>
      </c>
      <c r="U65" s="539">
        <v>5509.7463182875035</v>
      </c>
      <c r="V65" s="556"/>
    </row>
    <row r="66" spans="1:22" s="318" customFormat="1" ht="12" hidden="1" x14ac:dyDescent="0.2">
      <c r="A66" s="533"/>
      <c r="B66" s="534" t="s">
        <v>682</v>
      </c>
      <c r="C66" s="535">
        <v>898</v>
      </c>
      <c r="D66" s="535">
        <v>1194866</v>
      </c>
      <c r="E66" s="535">
        <v>1219.1912355540001</v>
      </c>
      <c r="F66" s="535">
        <v>22170.042489929754</v>
      </c>
      <c r="G66" s="535">
        <v>-20950.851254375753</v>
      </c>
      <c r="H66" s="535">
        <v>154124.49382670264</v>
      </c>
      <c r="I66" s="535">
        <f t="shared" si="7"/>
        <v>898</v>
      </c>
      <c r="J66" s="535">
        <f t="shared" si="7"/>
        <v>1194866</v>
      </c>
      <c r="K66" s="535">
        <f t="shared" si="8"/>
        <v>834.74052027200003</v>
      </c>
      <c r="L66" s="535">
        <f t="shared" si="8"/>
        <v>2835.8366625328454</v>
      </c>
      <c r="M66" s="535">
        <f t="shared" si="8"/>
        <v>-2001.0961422608452</v>
      </c>
      <c r="N66" s="535">
        <f t="shared" si="4"/>
        <v>154124.49382670264</v>
      </c>
      <c r="P66" s="541">
        <v>912</v>
      </c>
      <c r="Q66" s="541">
        <v>1199181</v>
      </c>
      <c r="R66" s="542">
        <v>384.45071528200003</v>
      </c>
      <c r="S66" s="542">
        <v>19334.205827396909</v>
      </c>
      <c r="T66" s="542">
        <v>-18949.755112114908</v>
      </c>
      <c r="U66" s="542">
        <v>154601.39502264844</v>
      </c>
      <c r="V66" s="556"/>
    </row>
    <row r="67" spans="1:22" s="318" customFormat="1" ht="12" hidden="1" x14ac:dyDescent="0.2">
      <c r="A67" s="533"/>
      <c r="B67" s="534"/>
      <c r="C67" s="535"/>
      <c r="D67" s="535"/>
      <c r="E67" s="535"/>
      <c r="F67" s="535"/>
      <c r="G67" s="535"/>
      <c r="H67" s="535"/>
      <c r="I67" s="535"/>
      <c r="J67" s="535"/>
      <c r="K67" s="535"/>
      <c r="L67" s="535"/>
      <c r="M67" s="535"/>
      <c r="N67" s="535"/>
      <c r="P67" s="536"/>
      <c r="Q67" s="536"/>
      <c r="R67" s="539"/>
      <c r="S67" s="539"/>
      <c r="T67" s="539"/>
      <c r="U67" s="539"/>
      <c r="V67" s="556"/>
    </row>
    <row r="68" spans="1:22" s="318" customFormat="1" ht="12" x14ac:dyDescent="0.2">
      <c r="A68" s="533" t="s">
        <v>637</v>
      </c>
      <c r="B68" s="534" t="s">
        <v>638</v>
      </c>
      <c r="C68" s="535">
        <f>SUM(C69:C70)</f>
        <v>125</v>
      </c>
      <c r="D68" s="535">
        <f t="shared" ref="D68:H68" si="17">SUM(D69:D70)</f>
        <v>1775168</v>
      </c>
      <c r="E68" s="535">
        <f t="shared" si="17"/>
        <v>0</v>
      </c>
      <c r="F68" s="535">
        <f t="shared" si="17"/>
        <v>818.58689457366722</v>
      </c>
      <c r="G68" s="535">
        <f t="shared" si="17"/>
        <v>-818.58689457366722</v>
      </c>
      <c r="H68" s="535">
        <f t="shared" si="17"/>
        <v>34507.110113927913</v>
      </c>
      <c r="I68" s="535">
        <f>SUM(I69:I70)</f>
        <v>125</v>
      </c>
      <c r="J68" s="535">
        <f t="shared" ref="J68:N68" si="18">SUM(J69:J70)</f>
        <v>1775168</v>
      </c>
      <c r="K68" s="535">
        <f t="shared" si="18"/>
        <v>1.0000000000000001E-5</v>
      </c>
      <c r="L68" s="535">
        <f t="shared" si="18"/>
        <v>439.32251001840632</v>
      </c>
      <c r="M68" s="535">
        <f t="shared" si="18"/>
        <v>-439.32250001840634</v>
      </c>
      <c r="N68" s="535">
        <f t="shared" si="18"/>
        <v>34507.110113927913</v>
      </c>
      <c r="P68" s="536"/>
      <c r="Q68" s="536"/>
      <c r="R68" s="539"/>
      <c r="S68" s="539"/>
      <c r="T68" s="539"/>
      <c r="U68" s="539"/>
      <c r="V68" s="556"/>
    </row>
    <row r="69" spans="1:22" s="318" customFormat="1" ht="12" hidden="1" x14ac:dyDescent="0.2">
      <c r="A69" s="533" t="s">
        <v>674</v>
      </c>
      <c r="B69" s="534" t="s">
        <v>648</v>
      </c>
      <c r="C69" s="535">
        <v>26</v>
      </c>
      <c r="D69" s="535">
        <v>501154</v>
      </c>
      <c r="E69" s="535">
        <v>0</v>
      </c>
      <c r="F69" s="535">
        <v>83.095298110666377</v>
      </c>
      <c r="G69" s="535">
        <v>-83.095298110666377</v>
      </c>
      <c r="H69" s="535">
        <v>4582.3215231170216</v>
      </c>
      <c r="I69" s="535">
        <f t="shared" si="7"/>
        <v>26</v>
      </c>
      <c r="J69" s="535">
        <f t="shared" si="7"/>
        <v>501154</v>
      </c>
      <c r="K69" s="535">
        <f t="shared" si="8"/>
        <v>0</v>
      </c>
      <c r="L69" s="535">
        <f t="shared" si="8"/>
        <v>35.009610282405475</v>
      </c>
      <c r="M69" s="535">
        <f t="shared" si="8"/>
        <v>-35.009610282405475</v>
      </c>
      <c r="N69" s="535">
        <f t="shared" si="4"/>
        <v>4582.3215231170216</v>
      </c>
      <c r="P69" s="538">
        <v>26</v>
      </c>
      <c r="Q69" s="536">
        <v>504150</v>
      </c>
      <c r="R69" s="539">
        <v>0</v>
      </c>
      <c r="S69" s="539">
        <v>48.085687828260902</v>
      </c>
      <c r="T69" s="539">
        <v>-48.085687828260902</v>
      </c>
      <c r="U69" s="539">
        <v>4506.0371510294181</v>
      </c>
      <c r="V69" s="556">
        <f t="shared" ref="V69:V72" si="19">I13+I69</f>
        <v>39</v>
      </c>
    </row>
    <row r="70" spans="1:22" s="318" customFormat="1" ht="12" hidden="1" x14ac:dyDescent="0.2">
      <c r="A70" s="533" t="s">
        <v>676</v>
      </c>
      <c r="B70" s="534" t="s">
        <v>199</v>
      </c>
      <c r="C70" s="535">
        <v>99</v>
      </c>
      <c r="D70" s="535">
        <v>1274014</v>
      </c>
      <c r="E70" s="535">
        <v>0</v>
      </c>
      <c r="F70" s="535">
        <v>735.49159646300086</v>
      </c>
      <c r="G70" s="535">
        <v>-735.49159646300086</v>
      </c>
      <c r="H70" s="535">
        <v>29924.788590810891</v>
      </c>
      <c r="I70" s="535">
        <f t="shared" si="7"/>
        <v>99</v>
      </c>
      <c r="J70" s="535">
        <f t="shared" si="7"/>
        <v>1274014</v>
      </c>
      <c r="K70" s="535">
        <f t="shared" si="8"/>
        <v>1.0000000000000001E-5</v>
      </c>
      <c r="L70" s="535">
        <f t="shared" si="8"/>
        <v>404.31289973600087</v>
      </c>
      <c r="M70" s="535">
        <f t="shared" si="8"/>
        <v>-404.3128897360009</v>
      </c>
      <c r="N70" s="535">
        <f t="shared" si="4"/>
        <v>29924.788590810891</v>
      </c>
      <c r="P70" s="538">
        <v>102</v>
      </c>
      <c r="Q70" s="536">
        <v>1290925</v>
      </c>
      <c r="R70" s="539">
        <v>-1.0000000000000001E-5</v>
      </c>
      <c r="S70" s="539">
        <v>331.17869672699999</v>
      </c>
      <c r="T70" s="539">
        <v>-331.17870672699996</v>
      </c>
      <c r="U70" s="539">
        <v>29654.460110593995</v>
      </c>
      <c r="V70" s="556">
        <f t="shared" si="19"/>
        <v>101</v>
      </c>
    </row>
    <row r="71" spans="1:22" s="318" customFormat="1" ht="12" hidden="1" x14ac:dyDescent="0.2">
      <c r="A71" s="533"/>
      <c r="B71" s="534" t="s">
        <v>683</v>
      </c>
      <c r="C71" s="535">
        <v>125</v>
      </c>
      <c r="D71" s="535">
        <v>1775168</v>
      </c>
      <c r="E71" s="535">
        <v>0</v>
      </c>
      <c r="F71" s="535">
        <v>818.58689457366722</v>
      </c>
      <c r="G71" s="535">
        <v>-818.58689457366722</v>
      </c>
      <c r="H71" s="535">
        <v>34507.110113927913</v>
      </c>
      <c r="I71" s="535">
        <f t="shared" si="7"/>
        <v>125</v>
      </c>
      <c r="J71" s="535">
        <f t="shared" si="7"/>
        <v>1775168</v>
      </c>
      <c r="K71" s="535">
        <f t="shared" si="8"/>
        <v>1.0000000000000001E-5</v>
      </c>
      <c r="L71" s="535">
        <f t="shared" si="8"/>
        <v>439.32251001840632</v>
      </c>
      <c r="M71" s="535">
        <f t="shared" si="8"/>
        <v>-439.32250001840634</v>
      </c>
      <c r="N71" s="535">
        <f t="shared" ref="N71:N86" si="20">H71</f>
        <v>34507.110113927913</v>
      </c>
      <c r="P71" s="541">
        <v>128</v>
      </c>
      <c r="Q71" s="541">
        <v>1795075</v>
      </c>
      <c r="R71" s="542">
        <v>-1.0000000000000001E-5</v>
      </c>
      <c r="S71" s="542">
        <v>379.2643845552609</v>
      </c>
      <c r="T71" s="542">
        <v>-379.26439455526088</v>
      </c>
      <c r="U71" s="542">
        <v>34160.497261623415</v>
      </c>
      <c r="V71" s="556">
        <f t="shared" si="19"/>
        <v>153</v>
      </c>
    </row>
    <row r="72" spans="1:22" s="318" customFormat="1" ht="12" hidden="1" x14ac:dyDescent="0.2">
      <c r="A72" s="533"/>
      <c r="B72" s="534"/>
      <c r="C72" s="535"/>
      <c r="D72" s="535"/>
      <c r="E72" s="535"/>
      <c r="F72" s="535"/>
      <c r="G72" s="535"/>
      <c r="H72" s="535"/>
      <c r="I72" s="535"/>
      <c r="J72" s="535"/>
      <c r="K72" s="535"/>
      <c r="L72" s="535"/>
      <c r="M72" s="535"/>
      <c r="N72" s="535"/>
      <c r="P72" s="536"/>
      <c r="Q72" s="536"/>
      <c r="R72" s="539"/>
      <c r="S72" s="539"/>
      <c r="T72" s="539"/>
      <c r="U72" s="539"/>
      <c r="V72" s="556">
        <f t="shared" si="19"/>
        <v>20</v>
      </c>
    </row>
    <row r="73" spans="1:22" s="318" customFormat="1" ht="12" x14ac:dyDescent="0.2">
      <c r="A73" s="533" t="s">
        <v>650</v>
      </c>
      <c r="B73" s="534" t="s">
        <v>665</v>
      </c>
      <c r="C73" s="535">
        <v>0</v>
      </c>
      <c r="D73" s="535">
        <v>0</v>
      </c>
      <c r="E73" s="535">
        <v>0</v>
      </c>
      <c r="F73" s="535">
        <v>0</v>
      </c>
      <c r="G73" s="535">
        <v>0</v>
      </c>
      <c r="H73" s="535">
        <v>0</v>
      </c>
      <c r="I73" s="535">
        <f t="shared" si="7"/>
        <v>0</v>
      </c>
      <c r="J73" s="535">
        <f t="shared" si="7"/>
        <v>0</v>
      </c>
      <c r="K73" s="535">
        <f t="shared" si="8"/>
        <v>0</v>
      </c>
      <c r="L73" s="535">
        <f t="shared" si="8"/>
        <v>0</v>
      </c>
      <c r="M73" s="535">
        <f t="shared" si="8"/>
        <v>0</v>
      </c>
      <c r="N73" s="535">
        <f t="shared" si="20"/>
        <v>0</v>
      </c>
      <c r="P73" s="541">
        <v>0</v>
      </c>
      <c r="Q73" s="544">
        <v>0</v>
      </c>
      <c r="R73" s="542">
        <v>0</v>
      </c>
      <c r="S73" s="542">
        <v>0</v>
      </c>
      <c r="T73" s="542">
        <v>0</v>
      </c>
      <c r="U73" s="542">
        <v>0</v>
      </c>
    </row>
    <row r="74" spans="1:22" s="318" customFormat="1" ht="12" hidden="1" x14ac:dyDescent="0.2">
      <c r="A74" s="533"/>
      <c r="B74" s="534"/>
      <c r="C74" s="535"/>
      <c r="D74" s="535"/>
      <c r="E74" s="535"/>
      <c r="F74" s="535"/>
      <c r="G74" s="535"/>
      <c r="H74" s="535"/>
      <c r="I74" s="535"/>
      <c r="J74" s="535"/>
      <c r="K74" s="535"/>
      <c r="L74" s="535"/>
      <c r="M74" s="535"/>
      <c r="N74" s="535"/>
      <c r="P74" s="536"/>
      <c r="Q74" s="536"/>
      <c r="R74" s="539"/>
      <c r="S74" s="539"/>
      <c r="T74" s="539"/>
      <c r="U74" s="539"/>
    </row>
    <row r="75" spans="1:22" s="318" customFormat="1" ht="12" x14ac:dyDescent="0.2">
      <c r="A75" s="533"/>
      <c r="B75" s="534" t="s">
        <v>684</v>
      </c>
      <c r="C75" s="535">
        <v>1023</v>
      </c>
      <c r="D75" s="535">
        <v>2970034</v>
      </c>
      <c r="E75" s="535">
        <v>1219.1912355540001</v>
      </c>
      <c r="F75" s="535">
        <v>22988.62938450342</v>
      </c>
      <c r="G75" s="535">
        <v>-21769.438148949419</v>
      </c>
      <c r="H75" s="535">
        <v>188631.60394063056</v>
      </c>
      <c r="I75" s="535">
        <f t="shared" si="7"/>
        <v>1023</v>
      </c>
      <c r="J75" s="535">
        <f t="shared" si="7"/>
        <v>2970034</v>
      </c>
      <c r="K75" s="535">
        <f t="shared" si="8"/>
        <v>834.740530272</v>
      </c>
      <c r="L75" s="535">
        <f t="shared" si="8"/>
        <v>3275.1591725512517</v>
      </c>
      <c r="M75" s="535">
        <f t="shared" si="8"/>
        <v>-2440.4186422792482</v>
      </c>
      <c r="N75" s="535">
        <f t="shared" si="20"/>
        <v>188631.60394063056</v>
      </c>
      <c r="P75" s="541">
        <v>1040</v>
      </c>
      <c r="Q75" s="541">
        <v>2994256</v>
      </c>
      <c r="R75" s="542">
        <v>384.45070528200006</v>
      </c>
      <c r="S75" s="542">
        <v>19713.470211952168</v>
      </c>
      <c r="T75" s="542">
        <v>-19329.019506670171</v>
      </c>
      <c r="U75" s="542">
        <v>188761.89228427186</v>
      </c>
    </row>
    <row r="76" spans="1:22" s="318" customFormat="1" ht="12" hidden="1" x14ac:dyDescent="0.2">
      <c r="A76" s="533"/>
      <c r="B76" s="534"/>
      <c r="C76" s="535"/>
      <c r="D76" s="535"/>
      <c r="E76" s="535"/>
      <c r="F76" s="535"/>
      <c r="G76" s="535"/>
      <c r="H76" s="535"/>
      <c r="I76" s="535"/>
      <c r="J76" s="535"/>
      <c r="K76" s="535"/>
      <c r="L76" s="535"/>
      <c r="M76" s="535"/>
      <c r="N76" s="535"/>
      <c r="P76" s="536"/>
      <c r="Q76" s="536"/>
      <c r="R76" s="539"/>
      <c r="S76" s="539"/>
      <c r="T76" s="539"/>
      <c r="U76" s="539"/>
    </row>
    <row r="77" spans="1:22" s="263" customFormat="1" ht="12" x14ac:dyDescent="0.2">
      <c r="A77" s="530" t="s">
        <v>685</v>
      </c>
      <c r="B77" s="531" t="s">
        <v>686</v>
      </c>
      <c r="C77" s="545"/>
      <c r="D77" s="545"/>
      <c r="E77" s="545"/>
      <c r="F77" s="545"/>
      <c r="G77" s="545"/>
      <c r="H77" s="545"/>
      <c r="I77" s="545"/>
      <c r="J77" s="545"/>
      <c r="K77" s="545"/>
      <c r="L77" s="545"/>
      <c r="M77" s="545"/>
      <c r="N77" s="545"/>
      <c r="P77" s="544"/>
      <c r="Q77" s="544"/>
      <c r="R77" s="542"/>
      <c r="S77" s="542"/>
      <c r="T77" s="542"/>
      <c r="U77" s="542"/>
    </row>
    <row r="78" spans="1:22" s="318" customFormat="1" ht="12" x14ac:dyDescent="0.2">
      <c r="A78" s="533" t="s">
        <v>618</v>
      </c>
      <c r="B78" s="534" t="s">
        <v>619</v>
      </c>
      <c r="C78" s="535">
        <v>25</v>
      </c>
      <c r="D78" s="535">
        <v>4522</v>
      </c>
      <c r="E78" s="535">
        <v>8.2916093620000026</v>
      </c>
      <c r="F78" s="535">
        <v>249.13323447799999</v>
      </c>
      <c r="G78" s="535">
        <v>-240.85175505199999</v>
      </c>
      <c r="H78" s="535">
        <v>1736.6917511863389</v>
      </c>
      <c r="I78" s="535">
        <f t="shared" si="7"/>
        <v>25</v>
      </c>
      <c r="J78" s="535">
        <f t="shared" si="7"/>
        <v>4522</v>
      </c>
      <c r="K78" s="535">
        <f>E78-R78</f>
        <v>8.1436138720000031</v>
      </c>
      <c r="L78" s="535">
        <f>F78-S78</f>
        <v>196.57127390699998</v>
      </c>
      <c r="M78" s="535">
        <f t="shared" si="8"/>
        <v>-188.43778997099997</v>
      </c>
      <c r="N78" s="535">
        <f t="shared" si="20"/>
        <v>1736.6917511863389</v>
      </c>
      <c r="P78" s="544">
        <v>27</v>
      </c>
      <c r="Q78" s="544">
        <v>4636</v>
      </c>
      <c r="R78" s="542">
        <v>0.14799549000000001</v>
      </c>
      <c r="S78" s="542">
        <v>52.561960571</v>
      </c>
      <c r="T78" s="542">
        <v>-52.413965081000008</v>
      </c>
      <c r="U78" s="542">
        <v>1919.1724114526062</v>
      </c>
    </row>
    <row r="79" spans="1:22" s="318" customFormat="1" ht="12" hidden="1" x14ac:dyDescent="0.2">
      <c r="A79" s="533"/>
      <c r="B79" s="534"/>
      <c r="C79" s="535"/>
      <c r="D79" s="535"/>
      <c r="E79" s="535"/>
      <c r="F79" s="535"/>
      <c r="G79" s="535"/>
      <c r="H79" s="535"/>
      <c r="I79" s="535"/>
      <c r="J79" s="535"/>
      <c r="K79" s="535"/>
      <c r="L79" s="535"/>
      <c r="M79" s="535"/>
      <c r="N79" s="535"/>
      <c r="P79" s="536"/>
      <c r="Q79" s="536"/>
      <c r="R79" s="539"/>
      <c r="S79" s="539"/>
      <c r="T79" s="539"/>
      <c r="U79" s="539"/>
    </row>
    <row r="80" spans="1:22" s="318" customFormat="1" ht="12" x14ac:dyDescent="0.2">
      <c r="A80" s="533" t="s">
        <v>637</v>
      </c>
      <c r="B80" s="534" t="s">
        <v>638</v>
      </c>
      <c r="C80" s="535">
        <v>1</v>
      </c>
      <c r="D80" s="535">
        <v>12018</v>
      </c>
      <c r="E80" s="535">
        <v>0</v>
      </c>
      <c r="F80" s="535">
        <v>0</v>
      </c>
      <c r="G80" s="535">
        <v>0</v>
      </c>
      <c r="H80" s="535">
        <v>484.60815736170787</v>
      </c>
      <c r="I80" s="535">
        <f t="shared" si="7"/>
        <v>1</v>
      </c>
      <c r="J80" s="535">
        <f t="shared" si="7"/>
        <v>12018</v>
      </c>
      <c r="K80" s="535">
        <f t="shared" si="8"/>
        <v>0</v>
      </c>
      <c r="L80" s="535">
        <f t="shared" si="8"/>
        <v>0</v>
      </c>
      <c r="M80" s="535">
        <f t="shared" si="8"/>
        <v>0</v>
      </c>
      <c r="N80" s="535">
        <f t="shared" si="20"/>
        <v>484.60815736170787</v>
      </c>
      <c r="P80" s="544">
        <v>1</v>
      </c>
      <c r="Q80" s="544">
        <v>12018</v>
      </c>
      <c r="R80" s="542">
        <v>0</v>
      </c>
      <c r="S80" s="542">
        <v>0</v>
      </c>
      <c r="T80" s="542">
        <v>0</v>
      </c>
      <c r="U80" s="542">
        <v>481.46959260055058</v>
      </c>
    </row>
    <row r="81" spans="1:21" s="318" customFormat="1" ht="12" hidden="1" x14ac:dyDescent="0.2">
      <c r="A81" s="533"/>
      <c r="B81" s="534"/>
      <c r="C81" s="535"/>
      <c r="D81" s="535"/>
      <c r="E81" s="535"/>
      <c r="F81" s="535"/>
      <c r="G81" s="535"/>
      <c r="H81" s="535"/>
      <c r="I81" s="535"/>
      <c r="J81" s="535"/>
      <c r="K81" s="535"/>
      <c r="L81" s="535"/>
      <c r="M81" s="535"/>
      <c r="N81" s="535"/>
      <c r="P81" s="536"/>
      <c r="Q81" s="536"/>
      <c r="R81" s="539"/>
      <c r="S81" s="539"/>
      <c r="T81" s="539"/>
      <c r="U81" s="539"/>
    </row>
    <row r="82" spans="1:21" s="318" customFormat="1" ht="12" x14ac:dyDescent="0.2">
      <c r="A82" s="533" t="s">
        <v>650</v>
      </c>
      <c r="B82" s="534" t="s">
        <v>665</v>
      </c>
      <c r="C82" s="535">
        <v>0</v>
      </c>
      <c r="D82" s="535">
        <v>0</v>
      </c>
      <c r="E82" s="535">
        <v>0</v>
      </c>
      <c r="F82" s="535">
        <v>0</v>
      </c>
      <c r="G82" s="535">
        <v>0</v>
      </c>
      <c r="H82" s="535">
        <v>0</v>
      </c>
      <c r="I82" s="535">
        <f t="shared" si="7"/>
        <v>0</v>
      </c>
      <c r="J82" s="535">
        <f t="shared" si="7"/>
        <v>0</v>
      </c>
      <c r="K82" s="535">
        <f t="shared" si="8"/>
        <v>0</v>
      </c>
      <c r="L82" s="535">
        <f t="shared" si="8"/>
        <v>0</v>
      </c>
      <c r="M82" s="535">
        <f t="shared" si="8"/>
        <v>0</v>
      </c>
      <c r="N82" s="535">
        <f t="shared" si="20"/>
        <v>0</v>
      </c>
      <c r="P82" s="544">
        <v>0</v>
      </c>
      <c r="Q82" s="544">
        <v>0</v>
      </c>
      <c r="R82" s="542">
        <v>0</v>
      </c>
      <c r="S82" s="542">
        <v>0</v>
      </c>
      <c r="T82" s="542">
        <v>0</v>
      </c>
      <c r="U82" s="542">
        <v>0</v>
      </c>
    </row>
    <row r="83" spans="1:21" s="318" customFormat="1" ht="12" hidden="1" x14ac:dyDescent="0.2">
      <c r="A83" s="533"/>
      <c r="B83" s="534"/>
      <c r="C83" s="535"/>
      <c r="D83" s="535"/>
      <c r="E83" s="535"/>
      <c r="F83" s="535"/>
      <c r="G83" s="535"/>
      <c r="H83" s="535"/>
      <c r="I83" s="535"/>
      <c r="J83" s="535"/>
      <c r="K83" s="535"/>
      <c r="L83" s="535"/>
      <c r="M83" s="535"/>
      <c r="N83" s="535"/>
      <c r="P83" s="536"/>
      <c r="Q83" s="536"/>
      <c r="R83" s="539"/>
      <c r="S83" s="539"/>
      <c r="T83" s="539"/>
      <c r="U83" s="539"/>
    </row>
    <row r="84" spans="1:21" s="318" customFormat="1" ht="12" x14ac:dyDescent="0.2">
      <c r="A84" s="533"/>
      <c r="B84" s="534" t="s">
        <v>687</v>
      </c>
      <c r="C84" s="535">
        <v>26</v>
      </c>
      <c r="D84" s="535">
        <v>16540</v>
      </c>
      <c r="E84" s="535">
        <v>8.2916093620000026</v>
      </c>
      <c r="F84" s="535">
        <v>249.13323447799999</v>
      </c>
      <c r="G84" s="535">
        <v>-240.85175505199999</v>
      </c>
      <c r="H84" s="535">
        <v>2221.2999085480469</v>
      </c>
      <c r="I84" s="535">
        <f t="shared" si="7"/>
        <v>26</v>
      </c>
      <c r="J84" s="535">
        <f t="shared" si="7"/>
        <v>16540</v>
      </c>
      <c r="K84" s="535">
        <f t="shared" si="8"/>
        <v>8.1436138720000031</v>
      </c>
      <c r="L84" s="535">
        <f t="shared" si="8"/>
        <v>196.57127390699998</v>
      </c>
      <c r="M84" s="535">
        <f t="shared" si="8"/>
        <v>-188.43778997099997</v>
      </c>
      <c r="N84" s="535">
        <f t="shared" si="20"/>
        <v>2221.2999085480469</v>
      </c>
      <c r="P84" s="544">
        <v>28</v>
      </c>
      <c r="Q84" s="544">
        <v>16654</v>
      </c>
      <c r="R84" s="542">
        <v>0.14799549000000001</v>
      </c>
      <c r="S84" s="542">
        <v>52.561960571</v>
      </c>
      <c r="T84" s="542">
        <v>-52.413965081000008</v>
      </c>
      <c r="U84" s="542">
        <v>2400.6420040531566</v>
      </c>
    </row>
    <row r="85" spans="1:21" s="318" customFormat="1" ht="12" x14ac:dyDescent="0.2">
      <c r="A85" s="533"/>
      <c r="B85" s="534"/>
      <c r="C85" s="535"/>
      <c r="D85" s="535"/>
      <c r="E85" s="535"/>
      <c r="F85" s="535"/>
      <c r="G85" s="535"/>
      <c r="H85" s="535"/>
      <c r="I85" s="535"/>
      <c r="J85" s="535"/>
      <c r="K85" s="535"/>
      <c r="L85" s="535"/>
      <c r="M85" s="535"/>
      <c r="N85" s="535"/>
      <c r="P85" s="536"/>
      <c r="Q85" s="536"/>
      <c r="R85" s="539"/>
      <c r="S85" s="539"/>
      <c r="T85" s="539"/>
      <c r="U85" s="539"/>
    </row>
    <row r="86" spans="1:21" s="263" customFormat="1" ht="12" x14ac:dyDescent="0.2">
      <c r="A86" s="693" t="s">
        <v>1028</v>
      </c>
      <c r="B86" s="694"/>
      <c r="C86" s="545">
        <v>1954</v>
      </c>
      <c r="D86" s="545">
        <v>83242056</v>
      </c>
      <c r="E86" s="545">
        <v>4160806.6478639366</v>
      </c>
      <c r="F86" s="545">
        <v>3983357.1138337739</v>
      </c>
      <c r="G86" s="545">
        <v>177449.52390022573</v>
      </c>
      <c r="H86" s="545">
        <v>2593559.6290129288</v>
      </c>
      <c r="I86" s="545">
        <f t="shared" si="7"/>
        <v>1954</v>
      </c>
      <c r="J86" s="545">
        <f t="shared" si="7"/>
        <v>83242056</v>
      </c>
      <c r="K86" s="545">
        <f t="shared" si="8"/>
        <v>2287290.5080113881</v>
      </c>
      <c r="L86" s="545">
        <f t="shared" si="8"/>
        <v>2210300.7049160507</v>
      </c>
      <c r="M86" s="545">
        <f t="shared" si="8"/>
        <v>76989.792965400047</v>
      </c>
      <c r="N86" s="545">
        <f t="shared" si="20"/>
        <v>2593559.6290129288</v>
      </c>
      <c r="P86" s="541">
        <v>1967</v>
      </c>
      <c r="Q86" s="541">
        <v>82736339</v>
      </c>
      <c r="R86" s="542">
        <v>1873516.1398525485</v>
      </c>
      <c r="S86" s="542">
        <v>1773056.408917723</v>
      </c>
      <c r="T86" s="542">
        <v>100459.73093482568</v>
      </c>
      <c r="U86" s="542">
        <v>2478756.9334018747</v>
      </c>
    </row>
    <row r="87" spans="1:21" s="318" customFormat="1" ht="12" x14ac:dyDescent="0.2">
      <c r="A87" s="533"/>
      <c r="B87" s="534"/>
      <c r="C87" s="535"/>
      <c r="D87" s="535"/>
      <c r="E87" s="535"/>
      <c r="F87" s="535"/>
      <c r="G87" s="535"/>
      <c r="H87" s="535"/>
      <c r="I87" s="535"/>
      <c r="J87" s="535"/>
      <c r="K87" s="535"/>
      <c r="L87" s="535"/>
      <c r="M87" s="535"/>
      <c r="N87" s="535"/>
      <c r="P87" s="536"/>
      <c r="Q87" s="536"/>
      <c r="R87" s="539"/>
      <c r="S87" s="539"/>
      <c r="T87" s="539"/>
      <c r="U87" s="539"/>
    </row>
    <row r="88" spans="1:21" s="318" customFormat="1" ht="12" x14ac:dyDescent="0.2">
      <c r="A88" s="533"/>
      <c r="B88" s="534" t="s">
        <v>688</v>
      </c>
      <c r="C88" s="535">
        <v>42</v>
      </c>
      <c r="D88" s="535">
        <v>446678</v>
      </c>
      <c r="E88" s="535">
        <v>1116.8681556834479</v>
      </c>
      <c r="F88" s="535">
        <v>174.42783612299996</v>
      </c>
      <c r="G88" s="535">
        <v>942.4403195604483</v>
      </c>
      <c r="H88" s="535">
        <v>5318.5378830236023</v>
      </c>
      <c r="I88" s="535">
        <f t="shared" ref="I88:J88" si="21">C88</f>
        <v>42</v>
      </c>
      <c r="J88" s="535">
        <f t="shared" si="21"/>
        <v>446678</v>
      </c>
      <c r="K88" s="535">
        <f t="shared" ref="K88:M88" si="22">E88-R88</f>
        <v>544.09978852344784</v>
      </c>
      <c r="L88" s="535">
        <f t="shared" si="22"/>
        <v>93.682352281999982</v>
      </c>
      <c r="M88" s="535">
        <f t="shared" si="22"/>
        <v>450.41743624144823</v>
      </c>
      <c r="N88" s="535">
        <f t="shared" ref="N88" si="23">H88</f>
        <v>5318.5378830236023</v>
      </c>
      <c r="P88" s="544">
        <v>42</v>
      </c>
      <c r="Q88" s="544">
        <v>438895</v>
      </c>
      <c r="R88" s="542">
        <v>572.76836716000003</v>
      </c>
      <c r="S88" s="542">
        <v>80.745483840999981</v>
      </c>
      <c r="T88" s="542">
        <v>492.02288331900007</v>
      </c>
      <c r="U88" s="542">
        <v>4794.6279992694672</v>
      </c>
    </row>
    <row r="90" spans="1:21" x14ac:dyDescent="0.2">
      <c r="A90" s="692" t="s">
        <v>56</v>
      </c>
      <c r="B90" s="692"/>
    </row>
  </sheetData>
  <mergeCells count="6">
    <mergeCell ref="B2:B3"/>
    <mergeCell ref="C2:H2"/>
    <mergeCell ref="I2:N2"/>
    <mergeCell ref="A2:A3"/>
    <mergeCell ref="A90:B90"/>
    <mergeCell ref="A86:B86"/>
  </mergeCells>
  <pageMargins left="0.7" right="0.7" top="0.75" bottom="0.75" header="0.3" footer="0.3"/>
  <pageSetup paperSize="9" scale="80" orientation="landscape" r:id="rId1"/>
  <ignoredErrors>
    <ignoredError sqref="C5:N5 C50:N51 C24:H24 C61:G61 C23:H23 I6:N22 C36:H37 C45:H46 I47:N49 C57:N58 I52:N56 C67:G68" formulaRange="1"/>
    <ignoredError sqref="I24:N46"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zoomScaleNormal="100" workbookViewId="0">
      <selection activeCell="F15" sqref="F15"/>
    </sheetView>
  </sheetViews>
  <sheetFormatPr defaultColWidth="10.42578125" defaultRowHeight="15" x14ac:dyDescent="0.25"/>
  <cols>
    <col min="1" max="16384" width="10.42578125" style="123"/>
  </cols>
  <sheetData>
    <row r="1" spans="1:15" ht="17.25" customHeight="1" x14ac:dyDescent="0.25">
      <c r="A1" s="599" t="str">
        <f>'Data Summary'!$A$7</f>
        <v>Table 5:  Capital Raised from the Primary Market through though Public and Rights Issues (Equity)</v>
      </c>
      <c r="B1" s="599"/>
      <c r="C1" s="599"/>
      <c r="D1" s="599"/>
      <c r="E1" s="599"/>
      <c r="F1" s="599"/>
      <c r="G1" s="599"/>
      <c r="H1" s="599"/>
      <c r="I1" s="599"/>
      <c r="J1" s="599"/>
      <c r="K1" s="599"/>
      <c r="L1" s="599"/>
      <c r="M1" s="599"/>
      <c r="N1" s="599"/>
      <c r="O1" s="599"/>
    </row>
    <row r="2" spans="1:15" s="215" customFormat="1" ht="18" customHeight="1" x14ac:dyDescent="0.2">
      <c r="A2" s="600" t="s">
        <v>61</v>
      </c>
      <c r="B2" s="603" t="s">
        <v>64</v>
      </c>
      <c r="C2" s="604"/>
      <c r="D2" s="596" t="s">
        <v>71</v>
      </c>
      <c r="E2" s="597"/>
      <c r="F2" s="597"/>
      <c r="G2" s="598"/>
      <c r="H2" s="596" t="s">
        <v>72</v>
      </c>
      <c r="I2" s="597"/>
      <c r="J2" s="597"/>
      <c r="K2" s="598"/>
      <c r="L2" s="596" t="s">
        <v>73</v>
      </c>
      <c r="M2" s="597"/>
      <c r="N2" s="597"/>
      <c r="O2" s="597"/>
    </row>
    <row r="3" spans="1:15" s="215" customFormat="1" ht="18" customHeight="1" x14ac:dyDescent="0.2">
      <c r="A3" s="601"/>
      <c r="B3" s="605"/>
      <c r="C3" s="606"/>
      <c r="D3" s="603" t="s">
        <v>74</v>
      </c>
      <c r="E3" s="604"/>
      <c r="F3" s="603" t="s">
        <v>54</v>
      </c>
      <c r="G3" s="604"/>
      <c r="H3" s="603" t="s">
        <v>75</v>
      </c>
      <c r="I3" s="604"/>
      <c r="J3" s="603" t="s">
        <v>76</v>
      </c>
      <c r="K3" s="604"/>
      <c r="L3" s="596" t="s">
        <v>77</v>
      </c>
      <c r="M3" s="597"/>
      <c r="N3" s="597"/>
      <c r="O3" s="598"/>
    </row>
    <row r="4" spans="1:15" s="215" customFormat="1" ht="18" customHeight="1" x14ac:dyDescent="0.2">
      <c r="A4" s="601"/>
      <c r="B4" s="607"/>
      <c r="C4" s="608"/>
      <c r="D4" s="607"/>
      <c r="E4" s="608"/>
      <c r="F4" s="607"/>
      <c r="G4" s="608"/>
      <c r="H4" s="607"/>
      <c r="I4" s="608"/>
      <c r="J4" s="607"/>
      <c r="K4" s="608"/>
      <c r="L4" s="596" t="s">
        <v>79</v>
      </c>
      <c r="M4" s="598"/>
      <c r="N4" s="596" t="s">
        <v>80</v>
      </c>
      <c r="O4" s="598"/>
    </row>
    <row r="5" spans="1:15" s="215" customFormat="1" ht="30" customHeight="1" x14ac:dyDescent="0.2">
      <c r="A5" s="602"/>
      <c r="B5" s="275" t="s">
        <v>81</v>
      </c>
      <c r="C5" s="275" t="s">
        <v>69</v>
      </c>
      <c r="D5" s="275" t="s">
        <v>81</v>
      </c>
      <c r="E5" s="275" t="s">
        <v>69</v>
      </c>
      <c r="F5" s="275" t="s">
        <v>81</v>
      </c>
      <c r="G5" s="275" t="s">
        <v>69</v>
      </c>
      <c r="H5" s="275" t="s">
        <v>81</v>
      </c>
      <c r="I5" s="275" t="s">
        <v>69</v>
      </c>
      <c r="J5" s="275" t="s">
        <v>81</v>
      </c>
      <c r="K5" s="275" t="s">
        <v>69</v>
      </c>
      <c r="L5" s="275" t="s">
        <v>81</v>
      </c>
      <c r="M5" s="275" t="s">
        <v>69</v>
      </c>
      <c r="N5" s="275" t="s">
        <v>81</v>
      </c>
      <c r="O5" s="275" t="s">
        <v>69</v>
      </c>
    </row>
    <row r="6" spans="1:15" s="215" customFormat="1" ht="15" customHeight="1" x14ac:dyDescent="0.25">
      <c r="A6" s="276" t="s">
        <v>5</v>
      </c>
      <c r="B6" s="277">
        <f t="shared" ref="B6:C8" si="0">D6+F6</f>
        <v>133</v>
      </c>
      <c r="C6" s="278">
        <f t="shared" si="0"/>
        <v>18235.190000000002</v>
      </c>
      <c r="D6" s="277">
        <v>123</v>
      </c>
      <c r="E6" s="278">
        <v>16086.54</v>
      </c>
      <c r="F6" s="277">
        <v>10</v>
      </c>
      <c r="G6" s="278">
        <v>2148.65</v>
      </c>
      <c r="H6" s="277">
        <v>10</v>
      </c>
      <c r="I6" s="278">
        <v>2148.65</v>
      </c>
      <c r="J6" s="277">
        <v>123</v>
      </c>
      <c r="K6" s="278">
        <v>16086.54</v>
      </c>
      <c r="L6" s="277">
        <v>6</v>
      </c>
      <c r="M6" s="278">
        <v>512.57000000000005</v>
      </c>
      <c r="N6" s="277">
        <v>127</v>
      </c>
      <c r="O6" s="278">
        <v>17722.62</v>
      </c>
    </row>
    <row r="7" spans="1:15" s="215" customFormat="1" ht="15" customHeight="1" x14ac:dyDescent="0.25">
      <c r="A7" s="276" t="s">
        <v>6</v>
      </c>
      <c r="B7" s="277">
        <f>SUM(B8:B9)</f>
        <v>17</v>
      </c>
      <c r="C7" s="279">
        <f t="shared" ref="C7:O7" si="1">SUM(C8:C9)</f>
        <v>52711.25</v>
      </c>
      <c r="D7" s="277">
        <f t="shared" si="1"/>
        <v>13</v>
      </c>
      <c r="E7" s="279">
        <f t="shared" si="1"/>
        <v>3326.79</v>
      </c>
      <c r="F7" s="277">
        <f t="shared" si="1"/>
        <v>4</v>
      </c>
      <c r="G7" s="279">
        <f t="shared" si="1"/>
        <v>49384.46</v>
      </c>
      <c r="H7" s="277">
        <f t="shared" si="1"/>
        <v>4</v>
      </c>
      <c r="I7" s="279">
        <f t="shared" si="1"/>
        <v>49384.46</v>
      </c>
      <c r="J7" s="277">
        <f t="shared" si="1"/>
        <v>13</v>
      </c>
      <c r="K7" s="279">
        <f t="shared" si="1"/>
        <v>3326.79</v>
      </c>
      <c r="L7" s="277">
        <f t="shared" si="1"/>
        <v>0</v>
      </c>
      <c r="M7" s="279">
        <f t="shared" si="1"/>
        <v>0</v>
      </c>
      <c r="N7" s="277">
        <f t="shared" si="1"/>
        <v>17</v>
      </c>
      <c r="O7" s="279">
        <f t="shared" si="1"/>
        <v>52711.25</v>
      </c>
    </row>
    <row r="8" spans="1:15" s="215" customFormat="1" ht="15" customHeight="1" x14ac:dyDescent="0.25">
      <c r="A8" s="280" t="s">
        <v>70</v>
      </c>
      <c r="B8" s="277">
        <f t="shared" si="0"/>
        <v>10</v>
      </c>
      <c r="C8" s="279">
        <f t="shared" si="0"/>
        <v>28232.959999999999</v>
      </c>
      <c r="D8" s="277">
        <v>8</v>
      </c>
      <c r="E8" s="279">
        <v>3220.96</v>
      </c>
      <c r="F8" s="277">
        <v>2</v>
      </c>
      <c r="G8" s="279">
        <v>25012</v>
      </c>
      <c r="H8" s="277">
        <v>2</v>
      </c>
      <c r="I8" s="279">
        <v>25012</v>
      </c>
      <c r="J8" s="277">
        <v>8</v>
      </c>
      <c r="K8" s="279">
        <v>3220.96</v>
      </c>
      <c r="L8" s="277">
        <v>0</v>
      </c>
      <c r="M8" s="279">
        <v>0</v>
      </c>
      <c r="N8" s="277">
        <v>10</v>
      </c>
      <c r="O8" s="279">
        <v>28232.959999999999</v>
      </c>
    </row>
    <row r="9" spans="1:15" s="215" customFormat="1" ht="15" customHeight="1" x14ac:dyDescent="0.25">
      <c r="A9" s="281">
        <v>43586</v>
      </c>
      <c r="B9" s="277">
        <f>D9+F9</f>
        <v>7</v>
      </c>
      <c r="C9" s="279">
        <f>E9+G9</f>
        <v>24478.29</v>
      </c>
      <c r="D9" s="277">
        <v>5</v>
      </c>
      <c r="E9" s="279">
        <v>105.83</v>
      </c>
      <c r="F9" s="277">
        <v>2</v>
      </c>
      <c r="G9" s="279">
        <v>24372.46</v>
      </c>
      <c r="H9" s="277">
        <v>2</v>
      </c>
      <c r="I9" s="279">
        <v>24372.46</v>
      </c>
      <c r="J9" s="277">
        <v>5</v>
      </c>
      <c r="K9" s="279">
        <v>105.83</v>
      </c>
      <c r="L9" s="277">
        <v>0</v>
      </c>
      <c r="M9" s="279">
        <v>0</v>
      </c>
      <c r="N9" s="277">
        <v>7</v>
      </c>
      <c r="O9" s="279">
        <v>24478.29</v>
      </c>
    </row>
    <row r="10" spans="1:15" s="125" customFormat="1" ht="15" customHeight="1" x14ac:dyDescent="0.25">
      <c r="A10" s="212" t="s">
        <v>41</v>
      </c>
      <c r="B10" s="213"/>
      <c r="C10" s="213"/>
      <c r="D10" s="213"/>
      <c r="E10" s="214"/>
      <c r="F10" s="213"/>
      <c r="G10" s="214"/>
      <c r="H10" s="213"/>
      <c r="I10" s="214"/>
      <c r="J10" s="213"/>
      <c r="K10" s="214"/>
      <c r="L10" s="213"/>
      <c r="M10" s="214"/>
      <c r="N10" s="213"/>
      <c r="O10" s="214"/>
    </row>
    <row r="11" spans="1:15" s="189" customFormat="1" ht="13.5" customHeight="1" x14ac:dyDescent="0.2">
      <c r="A11" s="594" t="s">
        <v>981</v>
      </c>
      <c r="B11" s="594"/>
      <c r="C11" s="594"/>
      <c r="D11" s="594"/>
      <c r="E11" s="594"/>
      <c r="F11" s="594"/>
      <c r="G11" s="594"/>
      <c r="H11" s="594"/>
      <c r="I11" s="594"/>
      <c r="J11" s="594"/>
      <c r="K11" s="594"/>
      <c r="L11" s="594"/>
      <c r="M11" s="594"/>
      <c r="N11" s="594"/>
      <c r="O11" s="594"/>
    </row>
    <row r="12" spans="1:15" s="189" customFormat="1" ht="13.5" customHeight="1" x14ac:dyDescent="0.2">
      <c r="A12" s="595" t="s">
        <v>982</v>
      </c>
      <c r="B12" s="595"/>
      <c r="C12" s="595"/>
      <c r="D12" s="595"/>
      <c r="E12" s="595"/>
      <c r="F12" s="595"/>
      <c r="G12" s="595"/>
      <c r="H12" s="595"/>
      <c r="I12" s="595"/>
      <c r="J12" s="595"/>
      <c r="K12" s="595"/>
      <c r="L12" s="595"/>
      <c r="M12" s="595"/>
      <c r="N12" s="595"/>
      <c r="O12" s="595"/>
    </row>
    <row r="13" spans="1:15" s="189" customFormat="1" ht="13.5" customHeight="1" x14ac:dyDescent="0.2">
      <c r="A13" s="594" t="s">
        <v>846</v>
      </c>
      <c r="B13" s="594"/>
      <c r="C13" s="594"/>
      <c r="D13" s="594"/>
      <c r="E13" s="594"/>
      <c r="F13" s="594"/>
      <c r="G13" s="594"/>
      <c r="H13" s="594"/>
      <c r="I13" s="594"/>
      <c r="J13" s="594"/>
      <c r="K13" s="594"/>
      <c r="L13" s="594"/>
      <c r="M13" s="594"/>
      <c r="N13" s="594"/>
      <c r="O13" s="594"/>
    </row>
    <row r="14" spans="1:15" s="189" customFormat="1" ht="13.5" customHeight="1" x14ac:dyDescent="0.2">
      <c r="A14" s="594" t="s">
        <v>56</v>
      </c>
      <c r="B14" s="594"/>
      <c r="C14" s="594"/>
      <c r="D14" s="594"/>
      <c r="E14" s="594"/>
      <c r="F14" s="594"/>
      <c r="G14" s="594"/>
      <c r="H14" s="594"/>
      <c r="I14" s="594"/>
      <c r="J14" s="594"/>
      <c r="K14" s="594"/>
      <c r="L14" s="594"/>
      <c r="M14" s="594"/>
      <c r="N14" s="594"/>
      <c r="O14" s="594"/>
    </row>
    <row r="15" spans="1:15" s="125" customFormat="1" ht="26.1" customHeight="1" x14ac:dyDescent="0.2"/>
  </sheetData>
  <mergeCells count="17">
    <mergeCell ref="A1:O1"/>
    <mergeCell ref="A2:A5"/>
    <mergeCell ref="B2:C4"/>
    <mergeCell ref="D2:G2"/>
    <mergeCell ref="H2:K2"/>
    <mergeCell ref="L2:O2"/>
    <mergeCell ref="D3:E4"/>
    <mergeCell ref="F3:G4"/>
    <mergeCell ref="H3:I4"/>
    <mergeCell ref="J3:K4"/>
    <mergeCell ref="A11:O11"/>
    <mergeCell ref="A12:O12"/>
    <mergeCell ref="A13:O13"/>
    <mergeCell ref="A14:O14"/>
    <mergeCell ref="L3:O3"/>
    <mergeCell ref="L4:M4"/>
    <mergeCell ref="N4:O4"/>
  </mergeCells>
  <pageMargins left="0.78431372549019618" right="0.78431372549019618" top="0.98039215686274517" bottom="0.98039215686274517" header="0.50980392156862753" footer="0.50980392156862753"/>
  <pageSetup paperSize="9" scale="84" orientation="landscape" useFirstPageNumber="1" r:id="rId1"/>
  <headerFooter alignWithMargins="0"/>
  <ignoredErrors>
    <ignoredError sqref="B7" formula="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opLeftCell="B1" zoomScaleNormal="100" workbookViewId="0">
      <selection activeCell="E10" sqref="E10"/>
    </sheetView>
  </sheetViews>
  <sheetFormatPr defaultRowHeight="12.75" x14ac:dyDescent="0.2"/>
  <cols>
    <col min="1" max="1" width="11.5703125" bestFit="1" customWidth="1"/>
    <col min="2" max="7" width="12.140625" bestFit="1" customWidth="1"/>
    <col min="8" max="8" width="15" bestFit="1" customWidth="1"/>
    <col min="9" max="9" width="9.7109375" bestFit="1" customWidth="1"/>
    <col min="10" max="10" width="19.42578125" bestFit="1" customWidth="1"/>
    <col min="11" max="11" width="4.7109375" bestFit="1" customWidth="1"/>
  </cols>
  <sheetData>
    <row r="1" spans="1:10" ht="15.75" customHeight="1" x14ac:dyDescent="0.25">
      <c r="A1" s="576" t="str">
        <f>'Data Summary'!$A$61</f>
        <v>Table 59:  Trends in Transactions on Stock Exchanges by Mutual Funds</v>
      </c>
      <c r="B1" s="576"/>
      <c r="C1" s="576"/>
      <c r="D1" s="576"/>
      <c r="E1" s="576"/>
      <c r="F1" s="576"/>
      <c r="G1" s="576"/>
      <c r="H1" s="576"/>
      <c r="I1" s="576"/>
      <c r="J1" s="123"/>
    </row>
    <row r="2" spans="1:10" s="4" customFormat="1" ht="24" customHeight="1" x14ac:dyDescent="0.2">
      <c r="A2" s="591" t="s">
        <v>490</v>
      </c>
      <c r="B2" s="618" t="s">
        <v>53</v>
      </c>
      <c r="C2" s="619"/>
      <c r="D2" s="620"/>
      <c r="E2" s="618" t="s">
        <v>78</v>
      </c>
      <c r="F2" s="619"/>
      <c r="G2" s="620"/>
      <c r="H2" s="618" t="s">
        <v>64</v>
      </c>
      <c r="I2" s="619"/>
      <c r="J2" s="620"/>
    </row>
    <row r="3" spans="1:10" s="4" customFormat="1" ht="45" customHeight="1" x14ac:dyDescent="0.2">
      <c r="A3" s="613"/>
      <c r="B3" s="546" t="s">
        <v>491</v>
      </c>
      <c r="C3" s="546" t="s">
        <v>492</v>
      </c>
      <c r="D3" s="546" t="s">
        <v>493</v>
      </c>
      <c r="E3" s="546" t="s">
        <v>491</v>
      </c>
      <c r="F3" s="546" t="s">
        <v>492</v>
      </c>
      <c r="G3" s="546" t="s">
        <v>493</v>
      </c>
      <c r="H3" s="546" t="s">
        <v>491</v>
      </c>
      <c r="I3" s="546" t="s">
        <v>492</v>
      </c>
      <c r="J3" s="546" t="s">
        <v>494</v>
      </c>
    </row>
    <row r="4" spans="1:10" s="4" customFormat="1" ht="22.5" customHeight="1" x14ac:dyDescent="0.2">
      <c r="A4" s="228" t="s">
        <v>5</v>
      </c>
      <c r="B4" s="232" t="s">
        <v>992</v>
      </c>
      <c r="C4" s="232" t="s">
        <v>993</v>
      </c>
      <c r="D4" s="231">
        <v>87879</v>
      </c>
      <c r="E4" s="232" t="s">
        <v>994</v>
      </c>
      <c r="F4" s="232" t="s">
        <v>995</v>
      </c>
      <c r="G4" s="232" t="s">
        <v>996</v>
      </c>
      <c r="H4" s="232" t="s">
        <v>997</v>
      </c>
      <c r="I4" s="232" t="s">
        <v>998</v>
      </c>
      <c r="J4" s="232" t="s">
        <v>999</v>
      </c>
    </row>
    <row r="5" spans="1:10" s="4" customFormat="1" ht="22.5" customHeight="1" x14ac:dyDescent="0.2">
      <c r="A5" s="228" t="s">
        <v>6</v>
      </c>
      <c r="B5" s="232">
        <f>SUM(B6:B7)</f>
        <v>108354.11</v>
      </c>
      <c r="C5" s="232">
        <f t="shared" ref="C5:J5" si="0">SUM(C6:C7)</f>
        <v>107790.05</v>
      </c>
      <c r="D5" s="231">
        <f t="shared" si="0"/>
        <v>564.0600000000004</v>
      </c>
      <c r="E5" s="232">
        <f t="shared" si="0"/>
        <v>468664.45999999996</v>
      </c>
      <c r="F5" s="232">
        <f t="shared" si="0"/>
        <v>386504.36</v>
      </c>
      <c r="G5" s="231">
        <f t="shared" si="0"/>
        <v>82160.100000000006</v>
      </c>
      <c r="H5" s="232">
        <f t="shared" si="0"/>
        <v>577018.57000000007</v>
      </c>
      <c r="I5" s="232">
        <f t="shared" si="0"/>
        <v>494294.41</v>
      </c>
      <c r="J5" s="231">
        <f t="shared" si="0"/>
        <v>82724.160000000003</v>
      </c>
    </row>
    <row r="6" spans="1:10" s="4" customFormat="1" ht="22.5" customHeight="1" x14ac:dyDescent="0.2">
      <c r="A6" s="229" t="s">
        <v>70</v>
      </c>
      <c r="B6" s="231">
        <v>46931.89</v>
      </c>
      <c r="C6" s="231">
        <v>51531.55</v>
      </c>
      <c r="D6" s="231">
        <v>-4599.66</v>
      </c>
      <c r="E6" s="232">
        <v>226460.99</v>
      </c>
      <c r="F6" s="232">
        <v>175640.89</v>
      </c>
      <c r="G6" s="231">
        <v>50820.1</v>
      </c>
      <c r="H6" s="232">
        <v>273392.88</v>
      </c>
      <c r="I6" s="232">
        <v>227172.44</v>
      </c>
      <c r="J6" s="231">
        <f>G6+D6</f>
        <v>46220.44</v>
      </c>
    </row>
    <row r="7" spans="1:10" s="4" customFormat="1" ht="22.5" customHeight="1" x14ac:dyDescent="0.2">
      <c r="A7" s="230">
        <v>43586</v>
      </c>
      <c r="B7" s="231">
        <v>61422.22</v>
      </c>
      <c r="C7" s="231">
        <v>56258.5</v>
      </c>
      <c r="D7" s="231">
        <v>5163.72</v>
      </c>
      <c r="E7" s="232">
        <v>242203.47</v>
      </c>
      <c r="F7" s="232">
        <v>210863.47</v>
      </c>
      <c r="G7" s="231">
        <v>31340</v>
      </c>
      <c r="H7" s="232">
        <f>B7+E7</f>
        <v>303625.69</v>
      </c>
      <c r="I7" s="232">
        <f>C7+F7</f>
        <v>267121.96999999997</v>
      </c>
      <c r="J7" s="231">
        <f>G7+D7</f>
        <v>36503.72</v>
      </c>
    </row>
    <row r="8" spans="1:10" s="4" customFormat="1" ht="18.75" customHeight="1" x14ac:dyDescent="0.2">
      <c r="A8" s="575" t="s">
        <v>846</v>
      </c>
      <c r="B8" s="575"/>
      <c r="C8" s="575"/>
      <c r="D8" s="575"/>
      <c r="E8" s="575"/>
      <c r="F8" s="575"/>
      <c r="G8" s="575"/>
      <c r="H8" s="125"/>
      <c r="I8" s="125"/>
      <c r="J8" s="125"/>
    </row>
    <row r="9" spans="1:10" s="4" customFormat="1" ht="18" customHeight="1" x14ac:dyDescent="0.2">
      <c r="A9" s="575" t="s">
        <v>85</v>
      </c>
      <c r="B9" s="575"/>
      <c r="C9" s="575"/>
      <c r="D9" s="575"/>
      <c r="E9" s="575"/>
      <c r="F9" s="575"/>
      <c r="G9" s="575"/>
      <c r="H9" s="125"/>
      <c r="I9" s="125"/>
      <c r="J9" s="125"/>
    </row>
    <row r="10" spans="1:10" s="4" customFormat="1" ht="28.35" customHeight="1" x14ac:dyDescent="0.2"/>
  </sheetData>
  <mergeCells count="7">
    <mergeCell ref="A9:G9"/>
    <mergeCell ref="A1:I1"/>
    <mergeCell ref="A2:A3"/>
    <mergeCell ref="B2:D2"/>
    <mergeCell ref="E2:G2"/>
    <mergeCell ref="H2:J2"/>
    <mergeCell ref="A8:G8"/>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zoomScaleNormal="100" workbookViewId="0">
      <selection activeCell="G4" sqref="G4"/>
    </sheetView>
  </sheetViews>
  <sheetFormatPr defaultRowHeight="12.75" x14ac:dyDescent="0.2"/>
  <cols>
    <col min="1" max="1" width="17" customWidth="1"/>
    <col min="2" max="3" width="17.7109375" bestFit="1" customWidth="1"/>
    <col min="4" max="4" width="12.140625" customWidth="1"/>
    <col min="5" max="5" width="15.140625" customWidth="1"/>
    <col min="6" max="6" width="17.85546875" bestFit="1" customWidth="1"/>
    <col min="7" max="7" width="14.28515625" bestFit="1" customWidth="1"/>
    <col min="8" max="8" width="9.140625" bestFit="1" customWidth="1"/>
  </cols>
  <sheetData>
    <row r="1" spans="1:11" ht="15" customHeight="1" x14ac:dyDescent="0.25">
      <c r="A1" s="612" t="str">
        <f>'Data Summary'!$A$62</f>
        <v>Table 60:  Asset Under Management by Portfolio Manager</v>
      </c>
      <c r="B1" s="612"/>
      <c r="C1" s="612"/>
      <c r="D1" s="612"/>
      <c r="E1" s="123"/>
      <c r="F1" s="123"/>
      <c r="G1" s="123"/>
    </row>
    <row r="2" spans="1:11" s="4" customFormat="1" ht="18" customHeight="1" x14ac:dyDescent="0.2">
      <c r="A2" s="209" t="s">
        <v>61</v>
      </c>
      <c r="B2" s="618" t="s">
        <v>5</v>
      </c>
      <c r="C2" s="619"/>
      <c r="D2" s="620"/>
      <c r="E2" s="618" t="s">
        <v>6</v>
      </c>
      <c r="F2" s="619"/>
      <c r="G2" s="620"/>
    </row>
    <row r="3" spans="1:11" s="4" customFormat="1" ht="27" customHeight="1" x14ac:dyDescent="0.2">
      <c r="A3" s="152" t="s">
        <v>495</v>
      </c>
      <c r="B3" s="124" t="s">
        <v>496</v>
      </c>
      <c r="C3" s="124" t="s">
        <v>497</v>
      </c>
      <c r="D3" s="124" t="s">
        <v>498</v>
      </c>
      <c r="E3" s="124" t="s">
        <v>496</v>
      </c>
      <c r="F3" s="124" t="s">
        <v>497</v>
      </c>
      <c r="G3" s="124" t="s">
        <v>1033</v>
      </c>
      <c r="H3" s="557"/>
      <c r="I3" s="558" t="s">
        <v>1045</v>
      </c>
      <c r="J3" s="558" t="s">
        <v>497</v>
      </c>
      <c r="K3" s="559" t="s">
        <v>1046</v>
      </c>
    </row>
    <row r="4" spans="1:11" s="4" customFormat="1" ht="18" customHeight="1" x14ac:dyDescent="0.3">
      <c r="A4" s="157" t="s">
        <v>499</v>
      </c>
      <c r="B4" s="227">
        <v>138829</v>
      </c>
      <c r="C4" s="203">
        <v>6853</v>
      </c>
      <c r="D4" s="547">
        <v>4038</v>
      </c>
      <c r="E4" s="227">
        <v>143065</v>
      </c>
      <c r="F4" s="203">
        <v>7242</v>
      </c>
      <c r="G4" s="547">
        <v>3973</v>
      </c>
      <c r="H4" s="560" t="s">
        <v>499</v>
      </c>
      <c r="I4" s="561">
        <v>140583</v>
      </c>
      <c r="J4" s="561">
        <v>7025</v>
      </c>
      <c r="K4" s="561">
        <v>4010</v>
      </c>
    </row>
    <row r="5" spans="1:11" s="4" customFormat="1" ht="18" customHeight="1" x14ac:dyDescent="0.2">
      <c r="A5" s="701" t="s">
        <v>500</v>
      </c>
      <c r="B5" s="702"/>
      <c r="C5" s="702"/>
      <c r="D5" s="702"/>
      <c r="E5" s="702"/>
      <c r="F5" s="702"/>
      <c r="G5" s="703"/>
      <c r="H5" s="562" t="s">
        <v>1047</v>
      </c>
      <c r="I5" s="563" t="s">
        <v>1048</v>
      </c>
      <c r="J5" s="563" t="s">
        <v>1048</v>
      </c>
      <c r="K5" s="695">
        <v>184606.81</v>
      </c>
    </row>
    <row r="6" spans="1:11" s="4" customFormat="1" ht="18" customHeight="1" x14ac:dyDescent="0.2">
      <c r="A6" s="157" t="s">
        <v>501</v>
      </c>
      <c r="B6" s="227">
        <v>111995.61</v>
      </c>
      <c r="C6" s="203">
        <v>18477.080000000002</v>
      </c>
      <c r="D6" s="698">
        <v>193620</v>
      </c>
      <c r="E6" s="227">
        <v>114292.86</v>
      </c>
      <c r="F6" s="203">
        <v>19357.419999999998</v>
      </c>
      <c r="G6" s="698">
        <v>186441.91</v>
      </c>
      <c r="H6" s="564" t="s">
        <v>1049</v>
      </c>
      <c r="I6" s="227">
        <v>111043.03</v>
      </c>
      <c r="J6" s="227">
        <v>18587.98</v>
      </c>
      <c r="K6" s="696"/>
    </row>
    <row r="7" spans="1:11" s="4" customFormat="1" ht="18" customHeight="1" x14ac:dyDescent="0.2">
      <c r="A7" s="157" t="s">
        <v>502</v>
      </c>
      <c r="B7" s="203">
        <v>458.85</v>
      </c>
      <c r="C7" s="203">
        <v>74.69</v>
      </c>
      <c r="D7" s="699"/>
      <c r="E7" s="203">
        <v>482.11</v>
      </c>
      <c r="F7" s="203">
        <v>83.08</v>
      </c>
      <c r="G7" s="699"/>
      <c r="H7" s="564" t="s">
        <v>1050</v>
      </c>
      <c r="I7" s="203">
        <v>481.8</v>
      </c>
      <c r="J7" s="203">
        <v>78.290000000000006</v>
      </c>
      <c r="K7" s="696"/>
    </row>
    <row r="8" spans="1:11" s="4" customFormat="1" ht="18" customHeight="1" x14ac:dyDescent="0.2">
      <c r="A8" s="157" t="s">
        <v>503</v>
      </c>
      <c r="B8" s="227">
        <v>1160856.72</v>
      </c>
      <c r="C8" s="203">
        <v>74701.850000000006</v>
      </c>
      <c r="D8" s="699"/>
      <c r="E8" s="227">
        <v>1056163.3700000001</v>
      </c>
      <c r="F8" s="203">
        <v>77235.990000000005</v>
      </c>
      <c r="G8" s="699"/>
      <c r="H8" s="564" t="s">
        <v>503</v>
      </c>
      <c r="I8" s="227">
        <v>1041125.6</v>
      </c>
      <c r="J8" s="227">
        <v>76272.67</v>
      </c>
      <c r="K8" s="696"/>
    </row>
    <row r="9" spans="1:11" s="4" customFormat="1" ht="18" customHeight="1" x14ac:dyDescent="0.2">
      <c r="A9" s="157" t="s">
        <v>504</v>
      </c>
      <c r="B9" s="203">
        <v>752.86</v>
      </c>
      <c r="C9" s="203">
        <v>530.57000000000005</v>
      </c>
      <c r="D9" s="699"/>
      <c r="E9" s="203">
        <v>1033.51</v>
      </c>
      <c r="F9" s="203">
        <v>616.82000000000005</v>
      </c>
      <c r="G9" s="699"/>
      <c r="H9" s="564" t="s">
        <v>504</v>
      </c>
      <c r="I9" s="203">
        <v>1014.51</v>
      </c>
      <c r="J9" s="203">
        <v>578.66999999999996</v>
      </c>
      <c r="K9" s="696"/>
    </row>
    <row r="10" spans="1:11" s="4" customFormat="1" ht="18" customHeight="1" x14ac:dyDescent="0.2">
      <c r="A10" s="157" t="s">
        <v>505</v>
      </c>
      <c r="B10" s="203">
        <v>466.12</v>
      </c>
      <c r="C10" s="203">
        <v>-1.24</v>
      </c>
      <c r="D10" s="699"/>
      <c r="E10" s="203">
        <v>341.9</v>
      </c>
      <c r="F10" s="203">
        <v>-1.17</v>
      </c>
      <c r="G10" s="699"/>
      <c r="H10" s="564" t="s">
        <v>1051</v>
      </c>
      <c r="I10" s="203">
        <v>461.83</v>
      </c>
      <c r="J10" s="203">
        <v>-1.26</v>
      </c>
      <c r="K10" s="696"/>
    </row>
    <row r="11" spans="1:11" s="4" customFormat="1" ht="18" customHeight="1" x14ac:dyDescent="0.2">
      <c r="A11" s="157" t="s">
        <v>33</v>
      </c>
      <c r="B11" s="203">
        <v>14112.76</v>
      </c>
      <c r="C11" s="203">
        <v>13856.15</v>
      </c>
      <c r="D11" s="699"/>
      <c r="E11" s="203">
        <v>12422.91</v>
      </c>
      <c r="F11" s="203">
        <v>12434.64</v>
      </c>
      <c r="G11" s="699"/>
      <c r="H11" s="564" t="s">
        <v>1052</v>
      </c>
      <c r="I11" s="203">
        <v>11108.57</v>
      </c>
      <c r="J11" s="203">
        <v>13737.02</v>
      </c>
      <c r="K11" s="696"/>
    </row>
    <row r="12" spans="1:11" s="4" customFormat="1" ht="18" customHeight="1" x14ac:dyDescent="0.2">
      <c r="A12" s="157" t="s">
        <v>199</v>
      </c>
      <c r="B12" s="203">
        <v>14498.29</v>
      </c>
      <c r="C12" s="203">
        <v>1392.08</v>
      </c>
      <c r="D12" s="699"/>
      <c r="E12" s="203">
        <v>125771.58</v>
      </c>
      <c r="F12" s="203">
        <v>1556.75</v>
      </c>
      <c r="G12" s="699"/>
      <c r="H12" s="564" t="s">
        <v>199</v>
      </c>
      <c r="I12" s="203">
        <v>162732</v>
      </c>
      <c r="J12" s="203">
        <v>1503.66</v>
      </c>
      <c r="K12" s="696"/>
    </row>
    <row r="13" spans="1:11" s="4" customFormat="1" ht="18" customHeight="1" thickBot="1" x14ac:dyDescent="0.3">
      <c r="A13" s="157" t="s">
        <v>1032</v>
      </c>
      <c r="B13" s="227">
        <v>1303141.21</v>
      </c>
      <c r="C13" s="227">
        <v>109031.18</v>
      </c>
      <c r="D13" s="700"/>
      <c r="E13" s="227">
        <v>1310508.24</v>
      </c>
      <c r="F13" s="227">
        <v>111283.53</v>
      </c>
      <c r="G13" s="700"/>
      <c r="H13" s="565" t="s">
        <v>1053</v>
      </c>
      <c r="I13" s="227">
        <f>SUM(I6:I12)</f>
        <v>1327967.3400000001</v>
      </c>
      <c r="J13" s="227">
        <f>SUM(J6:J12)</f>
        <v>110757.03000000001</v>
      </c>
      <c r="K13" s="697"/>
    </row>
    <row r="14" spans="1:11" s="4" customFormat="1" ht="23.25" customHeight="1" x14ac:dyDescent="0.2">
      <c r="A14" s="704" t="s">
        <v>1029</v>
      </c>
      <c r="B14" s="704"/>
      <c r="C14" s="704"/>
      <c r="D14" s="704"/>
      <c r="E14" s="704"/>
      <c r="F14" s="704"/>
      <c r="G14" s="704"/>
      <c r="H14" s="548"/>
    </row>
    <row r="15" spans="1:11" s="4" customFormat="1" ht="18" customHeight="1" x14ac:dyDescent="0.2">
      <c r="A15" s="548" t="s">
        <v>1030</v>
      </c>
      <c r="B15" s="548"/>
      <c r="C15" s="548"/>
      <c r="D15" s="548"/>
      <c r="E15" s="548"/>
      <c r="F15" s="566">
        <f>((E13/I13)-1)*100</f>
        <v>-1.3147235985487504</v>
      </c>
      <c r="G15" s="566">
        <f>((F13/J13)-1)*100</f>
        <v>0.47536485945856022</v>
      </c>
      <c r="H15" s="566">
        <f>((G6/K5)-1)*100</f>
        <v>0.99405866988331315</v>
      </c>
    </row>
    <row r="16" spans="1:11" s="4" customFormat="1" ht="18" customHeight="1" x14ac:dyDescent="0.2">
      <c r="A16" s="548" t="s">
        <v>1034</v>
      </c>
      <c r="B16" s="548"/>
      <c r="C16" s="548"/>
      <c r="D16" s="548"/>
      <c r="E16" s="548"/>
      <c r="F16" s="548"/>
      <c r="G16" s="548"/>
      <c r="H16" s="548"/>
    </row>
    <row r="17" spans="1:8" s="4" customFormat="1" ht="24.75" customHeight="1" x14ac:dyDescent="0.2">
      <c r="A17" s="548" t="s">
        <v>1031</v>
      </c>
      <c r="B17" s="548"/>
      <c r="C17" s="548"/>
      <c r="D17" s="548"/>
      <c r="E17" s="548"/>
      <c r="F17" s="548"/>
      <c r="G17" s="548"/>
      <c r="H17" s="548"/>
    </row>
    <row r="18" spans="1:8" s="4" customFormat="1" ht="13.5" customHeight="1" x14ac:dyDescent="0.2">
      <c r="A18" s="594" t="s">
        <v>846</v>
      </c>
      <c r="B18" s="594"/>
      <c r="C18" s="594"/>
      <c r="D18" s="594"/>
      <c r="E18" s="594"/>
      <c r="F18" s="594"/>
      <c r="G18" s="594"/>
    </row>
    <row r="19" spans="1:8" s="4" customFormat="1" ht="13.5" customHeight="1" x14ac:dyDescent="0.2">
      <c r="A19" s="594" t="s">
        <v>56</v>
      </c>
      <c r="B19" s="594"/>
      <c r="C19" s="594"/>
      <c r="D19" s="594"/>
      <c r="E19" s="594"/>
      <c r="F19" s="594"/>
      <c r="G19" s="594"/>
    </row>
    <row r="20" spans="1:8" s="4" customFormat="1" ht="28.35" customHeight="1" x14ac:dyDescent="0.2"/>
  </sheetData>
  <mergeCells count="10">
    <mergeCell ref="K5:K13"/>
    <mergeCell ref="A1:D1"/>
    <mergeCell ref="A18:G18"/>
    <mergeCell ref="A19:G19"/>
    <mergeCell ref="G6:G13"/>
    <mergeCell ref="D6:D13"/>
    <mergeCell ref="B2:D2"/>
    <mergeCell ref="E2:G2"/>
    <mergeCell ref="A5:G5"/>
    <mergeCell ref="A14:G14"/>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Normal="100" workbookViewId="0">
      <selection activeCell="H5" sqref="H5"/>
    </sheetView>
  </sheetViews>
  <sheetFormatPr defaultRowHeight="12.75" x14ac:dyDescent="0.2"/>
  <cols>
    <col min="1" max="1" width="47.5703125" customWidth="1"/>
    <col min="2" max="2" width="8.42578125" bestFit="1" customWidth="1"/>
    <col min="3" max="3" width="13" bestFit="1" customWidth="1"/>
    <col min="4" max="4" width="13.28515625" bestFit="1" customWidth="1"/>
    <col min="5" max="7" width="12.42578125" bestFit="1" customWidth="1"/>
    <col min="8" max="8" width="10.5703125" bestFit="1" customWidth="1"/>
    <col min="9" max="9" width="11.140625" bestFit="1" customWidth="1"/>
    <col min="10" max="11" width="12.42578125" bestFit="1" customWidth="1"/>
    <col min="12" max="12" width="10.140625" bestFit="1" customWidth="1"/>
    <col min="13" max="13" width="0.28515625" bestFit="1" customWidth="1"/>
    <col min="14" max="14" width="4.7109375" bestFit="1" customWidth="1"/>
  </cols>
  <sheetData>
    <row r="1" spans="1:13" ht="15.75" customHeight="1" x14ac:dyDescent="0.2">
      <c r="A1" s="5" t="str">
        <f>'Data Summary'!$A$63</f>
        <v>Table 61:  Progress Report of NSDL &amp; CDSl as on end of Month (Listed Companies)</v>
      </c>
    </row>
    <row r="2" spans="1:13" s="4" customFormat="1" ht="18.75" customHeight="1" x14ac:dyDescent="0.2">
      <c r="A2" s="614" t="s">
        <v>506</v>
      </c>
      <c r="B2" s="614" t="s">
        <v>507</v>
      </c>
      <c r="C2" s="618" t="s">
        <v>508</v>
      </c>
      <c r="D2" s="619"/>
      <c r="E2" s="619"/>
      <c r="F2" s="619"/>
      <c r="G2" s="619"/>
      <c r="H2" s="618" t="s">
        <v>509</v>
      </c>
      <c r="I2" s="619"/>
      <c r="J2" s="619"/>
      <c r="K2" s="619"/>
      <c r="L2" s="619"/>
      <c r="M2" s="9"/>
    </row>
    <row r="3" spans="1:13" s="4" customFormat="1" ht="63.75" customHeight="1" x14ac:dyDescent="0.2">
      <c r="A3" s="616"/>
      <c r="B3" s="616"/>
      <c r="C3" s="152" t="s">
        <v>1009</v>
      </c>
      <c r="D3" s="152" t="s">
        <v>70</v>
      </c>
      <c r="E3" s="152" t="s">
        <v>1010</v>
      </c>
      <c r="F3" s="124" t="s">
        <v>1011</v>
      </c>
      <c r="G3" s="124" t="s">
        <v>1012</v>
      </c>
      <c r="H3" s="152" t="s">
        <v>1009</v>
      </c>
      <c r="I3" s="152" t="s">
        <v>70</v>
      </c>
      <c r="J3" s="152" t="s">
        <v>1010</v>
      </c>
      <c r="K3" s="124" t="s">
        <v>1011</v>
      </c>
      <c r="L3" s="124" t="s">
        <v>1012</v>
      </c>
      <c r="M3" s="10"/>
    </row>
    <row r="4" spans="1:13" s="4" customFormat="1" ht="31.5" customHeight="1" x14ac:dyDescent="0.25">
      <c r="A4" s="549" t="s">
        <v>510</v>
      </c>
      <c r="B4" s="319" t="s">
        <v>511</v>
      </c>
      <c r="C4" s="404">
        <v>5641</v>
      </c>
      <c r="D4" s="404">
        <v>6168</v>
      </c>
      <c r="E4" s="404">
        <v>5964</v>
      </c>
      <c r="F4" s="550">
        <f t="shared" ref="F4:F17" si="0">(C4-E4)/E4*100</f>
        <v>-5.4158283031522467</v>
      </c>
      <c r="G4" s="550">
        <f t="shared" ref="G4:G17" si="1">(C4-D4)/D4*100</f>
        <v>-8.5440985732814525</v>
      </c>
      <c r="H4" s="404">
        <v>6295</v>
      </c>
      <c r="I4" s="404">
        <v>5763</v>
      </c>
      <c r="J4" s="404">
        <v>6784</v>
      </c>
      <c r="K4" s="551">
        <f>(H4-J4)/J4*100</f>
        <v>-7.208136792452831</v>
      </c>
      <c r="L4" s="551">
        <f t="shared" ref="L4:L17" si="2">(H4-I4)/I4*100</f>
        <v>9.2313031407253163</v>
      </c>
      <c r="M4" s="11" t="s">
        <v>510</v>
      </c>
    </row>
    <row r="5" spans="1:13" s="4" customFormat="1" ht="18" customHeight="1" x14ac:dyDescent="0.25">
      <c r="A5" s="549" t="s">
        <v>512</v>
      </c>
      <c r="B5" s="319" t="s">
        <v>511</v>
      </c>
      <c r="C5" s="404">
        <v>278</v>
      </c>
      <c r="D5" s="404">
        <v>278</v>
      </c>
      <c r="E5" s="404">
        <v>277</v>
      </c>
      <c r="F5" s="550">
        <f t="shared" si="0"/>
        <v>0.36101083032490977</v>
      </c>
      <c r="G5" s="550">
        <f t="shared" si="1"/>
        <v>0</v>
      </c>
      <c r="H5" s="404">
        <v>599</v>
      </c>
      <c r="I5" s="404">
        <v>598</v>
      </c>
      <c r="J5" s="404">
        <v>602</v>
      </c>
      <c r="K5" s="551">
        <f t="shared" ref="K5:K17" si="3">(H5-J5)/J5*100</f>
        <v>-0.49833887043189368</v>
      </c>
      <c r="L5" s="551">
        <f t="shared" si="2"/>
        <v>0.16722408026755853</v>
      </c>
      <c r="M5" s="11" t="s">
        <v>512</v>
      </c>
    </row>
    <row r="6" spans="1:13" s="4" customFormat="1" ht="18" customHeight="1" x14ac:dyDescent="0.25">
      <c r="A6" s="549" t="s">
        <v>513</v>
      </c>
      <c r="B6" s="319" t="s">
        <v>511</v>
      </c>
      <c r="C6" s="404">
        <v>3</v>
      </c>
      <c r="D6" s="404">
        <v>3</v>
      </c>
      <c r="E6" s="404">
        <v>3</v>
      </c>
      <c r="F6" s="550">
        <f t="shared" si="0"/>
        <v>0</v>
      </c>
      <c r="G6" s="550">
        <f t="shared" si="1"/>
        <v>0</v>
      </c>
      <c r="H6" s="404">
        <v>3</v>
      </c>
      <c r="I6" s="404">
        <v>3</v>
      </c>
      <c r="J6" s="404">
        <v>3</v>
      </c>
      <c r="K6" s="551">
        <f t="shared" si="3"/>
        <v>0</v>
      </c>
      <c r="L6" s="551">
        <f t="shared" si="2"/>
        <v>0</v>
      </c>
      <c r="M6" s="11" t="s">
        <v>513</v>
      </c>
    </row>
    <row r="7" spans="1:13" s="4" customFormat="1" ht="18" customHeight="1" x14ac:dyDescent="0.25">
      <c r="A7" s="549" t="s">
        <v>514</v>
      </c>
      <c r="B7" s="319" t="s">
        <v>515</v>
      </c>
      <c r="C7" s="404">
        <v>186.68858</v>
      </c>
      <c r="D7" s="404">
        <v>185.99863999999999</v>
      </c>
      <c r="E7" s="404">
        <v>172.42180999999999</v>
      </c>
      <c r="F7" s="550">
        <f t="shared" si="0"/>
        <v>8.2743418596522158</v>
      </c>
      <c r="G7" s="550">
        <f t="shared" si="1"/>
        <v>0.37093819610724421</v>
      </c>
      <c r="H7" s="404">
        <v>178.12144000000001</v>
      </c>
      <c r="I7" s="404">
        <v>175.75</v>
      </c>
      <c r="J7" s="404">
        <v>151.69999999999999</v>
      </c>
      <c r="K7" s="551">
        <f>(H7-J7)/J7*100</f>
        <v>17.416901779828624</v>
      </c>
      <c r="L7" s="551">
        <f t="shared" si="2"/>
        <v>1.3493257467994351</v>
      </c>
      <c r="M7" s="11" t="s">
        <v>514</v>
      </c>
    </row>
    <row r="8" spans="1:13" s="4" customFormat="1" ht="18" customHeight="1" x14ac:dyDescent="0.25">
      <c r="A8" s="549" t="s">
        <v>516</v>
      </c>
      <c r="B8" s="319" t="s">
        <v>517</v>
      </c>
      <c r="C8" s="404">
        <v>53040.0174864</v>
      </c>
      <c r="D8" s="404">
        <v>53170.958098200004</v>
      </c>
      <c r="E8" s="404">
        <v>50307.872618100002</v>
      </c>
      <c r="F8" s="550">
        <f t="shared" si="0"/>
        <v>5.4308495392767098</v>
      </c>
      <c r="G8" s="550">
        <f t="shared" si="1"/>
        <v>-0.24626340484249615</v>
      </c>
      <c r="H8" s="404">
        <v>20333.151714399999</v>
      </c>
      <c r="I8" s="404">
        <v>18747.9506459</v>
      </c>
      <c r="J8" s="404">
        <v>15878.1</v>
      </c>
      <c r="K8" s="551">
        <f t="shared" si="3"/>
        <v>28.057838874928354</v>
      </c>
      <c r="L8" s="551">
        <f t="shared" si="2"/>
        <v>8.4553298567951316</v>
      </c>
      <c r="M8" s="11" t="s">
        <v>516</v>
      </c>
    </row>
    <row r="9" spans="1:13" s="4" customFormat="1" ht="18" customHeight="1" x14ac:dyDescent="0.25">
      <c r="A9" s="549" t="s">
        <v>518</v>
      </c>
      <c r="B9" s="319" t="s">
        <v>517</v>
      </c>
      <c r="C9" s="404">
        <v>13362484.90353876</v>
      </c>
      <c r="D9" s="404">
        <v>13188179.846127715</v>
      </c>
      <c r="E9" s="404">
        <v>12521074.901732085</v>
      </c>
      <c r="F9" s="550">
        <f t="shared" si="0"/>
        <v>6.7199502311920458</v>
      </c>
      <c r="G9" s="550">
        <f t="shared" si="1"/>
        <v>1.3216763756995922</v>
      </c>
      <c r="H9" s="404">
        <v>1838467.7557000001</v>
      </c>
      <c r="I9" s="404">
        <v>1753987.9</v>
      </c>
      <c r="J9" s="404">
        <v>1807245.54</v>
      </c>
      <c r="K9" s="551">
        <f t="shared" si="3"/>
        <v>1.7276133767634063</v>
      </c>
      <c r="L9" s="551">
        <f t="shared" si="2"/>
        <v>4.8164446117330799</v>
      </c>
      <c r="M9" s="11" t="s">
        <v>518</v>
      </c>
    </row>
    <row r="10" spans="1:13" s="4" customFormat="1" ht="18" customHeight="1" x14ac:dyDescent="0.25">
      <c r="A10" s="549" t="s">
        <v>519</v>
      </c>
      <c r="B10" s="319" t="s">
        <v>517</v>
      </c>
      <c r="C10" s="404">
        <v>57039.419591019694</v>
      </c>
      <c r="D10" s="404">
        <v>57157.107011175307</v>
      </c>
      <c r="E10" s="404">
        <v>53703.303432910703</v>
      </c>
      <c r="F10" s="550">
        <f t="shared" si="0"/>
        <v>6.2121246643172734</v>
      </c>
      <c r="G10" s="550">
        <f t="shared" si="1"/>
        <v>-0.20590163902557698</v>
      </c>
      <c r="H10" s="404">
        <v>21929.6728159296</v>
      </c>
      <c r="I10" s="404">
        <v>20397.732053759901</v>
      </c>
      <c r="J10" s="404">
        <v>17094.53</v>
      </c>
      <c r="K10" s="551">
        <f t="shared" si="3"/>
        <v>28.284736789660798</v>
      </c>
      <c r="L10" s="551">
        <f t="shared" si="2"/>
        <v>7.5103484942940879</v>
      </c>
      <c r="M10" s="11" t="s">
        <v>519</v>
      </c>
    </row>
    <row r="11" spans="1:13" s="4" customFormat="1" ht="18" customHeight="1" x14ac:dyDescent="0.25">
      <c r="A11" s="549" t="s">
        <v>520</v>
      </c>
      <c r="B11" s="319" t="s">
        <v>517</v>
      </c>
      <c r="C11" s="404">
        <v>16197871.224531431</v>
      </c>
      <c r="D11" s="404">
        <v>16011891.054451723</v>
      </c>
      <c r="E11" s="404">
        <v>15084901.639387863</v>
      </c>
      <c r="F11" s="550">
        <f t="shared" si="0"/>
        <v>7.3780367399779196</v>
      </c>
      <c r="G11" s="550">
        <f t="shared" si="1"/>
        <v>1.1615128372235632</v>
      </c>
      <c r="H11" s="404">
        <v>1966054.9441000002</v>
      </c>
      <c r="I11" s="404">
        <v>1881605.1614999999</v>
      </c>
      <c r="J11" s="404">
        <v>1906175.79</v>
      </c>
      <c r="K11" s="551">
        <f t="shared" si="3"/>
        <v>3.1413238177786407</v>
      </c>
      <c r="L11" s="551">
        <f t="shared" si="2"/>
        <v>4.4881776648974334</v>
      </c>
      <c r="M11" s="11" t="s">
        <v>520</v>
      </c>
    </row>
    <row r="12" spans="1:13" s="4" customFormat="1" ht="18" customHeight="1" x14ac:dyDescent="0.25">
      <c r="A12" s="549" t="s">
        <v>521</v>
      </c>
      <c r="B12" s="319" t="s">
        <v>517</v>
      </c>
      <c r="C12" s="404">
        <v>1069.8476659</v>
      </c>
      <c r="D12" s="404">
        <v>1026.0136301</v>
      </c>
      <c r="E12" s="404">
        <v>1024.4505812</v>
      </c>
      <c r="F12" s="550">
        <f t="shared" si="0"/>
        <v>4.4313591629596951</v>
      </c>
      <c r="G12" s="550">
        <f t="shared" si="1"/>
        <v>4.2722664216193476</v>
      </c>
      <c r="H12" s="404">
        <v>582.23989619999998</v>
      </c>
      <c r="I12" s="404">
        <v>577.44935780000003</v>
      </c>
      <c r="J12" s="404">
        <v>698.18</v>
      </c>
      <c r="K12" s="551">
        <f t="shared" si="3"/>
        <v>-16.606047695436704</v>
      </c>
      <c r="L12" s="551">
        <f t="shared" si="2"/>
        <v>0.82960320853957059</v>
      </c>
      <c r="M12" s="11" t="s">
        <v>521</v>
      </c>
    </row>
    <row r="13" spans="1:13" s="4" customFormat="1" ht="30" x14ac:dyDescent="0.25">
      <c r="A13" s="549" t="s">
        <v>522</v>
      </c>
      <c r="B13" s="319" t="s">
        <v>517</v>
      </c>
      <c r="C13" s="404">
        <v>48.62943935909091</v>
      </c>
      <c r="D13" s="404">
        <v>57.000757227777783</v>
      </c>
      <c r="E13" s="404">
        <v>48.783361009523809</v>
      </c>
      <c r="F13" s="550">
        <f>(C13-E13)/E13*100</f>
        <v>-0.31552079899302032</v>
      </c>
      <c r="G13" s="550">
        <f>(C13-D13)/D13*100</f>
        <v>-14.686327473220542</v>
      </c>
      <c r="H13" s="404">
        <f>H12/31</f>
        <v>18.781932135483871</v>
      </c>
      <c r="I13" s="404">
        <v>19.248311926666666</v>
      </c>
      <c r="J13" s="404">
        <v>22.521935483870966</v>
      </c>
      <c r="K13" s="551">
        <f t="shared" si="3"/>
        <v>-16.6060476954367</v>
      </c>
      <c r="L13" s="551">
        <f t="shared" si="2"/>
        <v>-2.4229646368971802</v>
      </c>
      <c r="M13" s="11" t="s">
        <v>522</v>
      </c>
    </row>
    <row r="14" spans="1:13" s="4" customFormat="1" ht="30" x14ac:dyDescent="0.25">
      <c r="A14" s="549" t="s">
        <v>523</v>
      </c>
      <c r="B14" s="319" t="s">
        <v>517</v>
      </c>
      <c r="C14" s="404">
        <v>280401.67190857691</v>
      </c>
      <c r="D14" s="404">
        <v>255007.72454144922</v>
      </c>
      <c r="E14" s="404">
        <v>267387.51880575327</v>
      </c>
      <c r="F14" s="550">
        <f t="shared" si="0"/>
        <v>4.867150553978524</v>
      </c>
      <c r="G14" s="550">
        <f t="shared" si="1"/>
        <v>9.9581090779860411</v>
      </c>
      <c r="H14" s="404">
        <v>59070.993810426</v>
      </c>
      <c r="I14" s="404">
        <v>54026.416008516011</v>
      </c>
      <c r="J14" s="404">
        <v>67582.02</v>
      </c>
      <c r="K14" s="551">
        <f t="shared" si="3"/>
        <v>-12.593625034549136</v>
      </c>
      <c r="L14" s="551">
        <f t="shared" si="2"/>
        <v>9.33724310180936</v>
      </c>
      <c r="M14" s="11" t="s">
        <v>523</v>
      </c>
    </row>
    <row r="15" spans="1:13" s="4" customFormat="1" ht="30" x14ac:dyDescent="0.25">
      <c r="A15" s="549" t="s">
        <v>524</v>
      </c>
      <c r="B15" s="319" t="s">
        <v>517</v>
      </c>
      <c r="C15" s="404">
        <v>12745.530541298951</v>
      </c>
      <c r="D15" s="404">
        <v>14167.095807858288</v>
      </c>
      <c r="E15" s="404">
        <v>12732.738990750157</v>
      </c>
      <c r="F15" s="550">
        <f t="shared" si="0"/>
        <v>0.10046189243403986</v>
      </c>
      <c r="G15" s="550">
        <f t="shared" si="1"/>
        <v>-10.034274390738677</v>
      </c>
      <c r="H15" s="404">
        <f>H14/31</f>
        <v>1905.5159293685806</v>
      </c>
      <c r="I15" s="404">
        <v>1800.8805336172004</v>
      </c>
      <c r="J15" s="404">
        <v>2180.0651612903225</v>
      </c>
      <c r="K15" s="551">
        <f t="shared" si="3"/>
        <v>-12.593625034549131</v>
      </c>
      <c r="L15" s="551">
        <f t="shared" si="2"/>
        <v>5.8102352598155056</v>
      </c>
      <c r="M15" s="11" t="s">
        <v>524</v>
      </c>
    </row>
    <row r="16" spans="1:13" s="4" customFormat="1" ht="30" x14ac:dyDescent="0.25">
      <c r="A16" s="549" t="s">
        <v>525</v>
      </c>
      <c r="B16" s="319" t="s">
        <v>511</v>
      </c>
      <c r="C16" s="404">
        <v>10</v>
      </c>
      <c r="D16" s="404">
        <v>9</v>
      </c>
      <c r="E16" s="404">
        <v>14</v>
      </c>
      <c r="F16" s="550">
        <f t="shared" si="0"/>
        <v>-28.571428571428569</v>
      </c>
      <c r="G16" s="550">
        <f t="shared" si="1"/>
        <v>11.111111111111111</v>
      </c>
      <c r="H16" s="404">
        <v>61</v>
      </c>
      <c r="I16" s="404">
        <v>21</v>
      </c>
      <c r="J16" s="404">
        <v>145</v>
      </c>
      <c r="K16" s="551">
        <f t="shared" si="3"/>
        <v>-57.931034482758626</v>
      </c>
      <c r="L16" s="551">
        <f t="shared" si="2"/>
        <v>190.47619047619045</v>
      </c>
      <c r="M16" s="11" t="s">
        <v>525</v>
      </c>
    </row>
    <row r="17" spans="1:13" s="4" customFormat="1" ht="30" x14ac:dyDescent="0.25">
      <c r="A17" s="549" t="s">
        <v>526</v>
      </c>
      <c r="B17" s="319" t="s">
        <v>527</v>
      </c>
      <c r="C17" s="552">
        <v>86.644160244783279</v>
      </c>
      <c r="D17" s="552">
        <v>86.76988897721246</v>
      </c>
      <c r="E17" s="552">
        <v>85.849297799070911</v>
      </c>
      <c r="F17" s="550">
        <f t="shared" si="0"/>
        <v>0.925881126684033</v>
      </c>
      <c r="G17" s="550">
        <f t="shared" si="1"/>
        <v>-0.14489903572678289</v>
      </c>
      <c r="H17" s="553">
        <v>11.8312414036633</v>
      </c>
      <c r="I17" s="553">
        <v>11.48</v>
      </c>
      <c r="J17" s="553">
        <v>12.4</v>
      </c>
      <c r="K17" s="551">
        <f t="shared" si="3"/>
        <v>-4.5867628736830639</v>
      </c>
      <c r="L17" s="551">
        <f t="shared" si="2"/>
        <v>3.0595941085653311</v>
      </c>
      <c r="M17" s="12" t="s">
        <v>528</v>
      </c>
    </row>
    <row r="18" spans="1:13" s="4" customFormat="1" ht="24.75" customHeight="1" x14ac:dyDescent="0.2">
      <c r="A18" s="595" t="s">
        <v>529</v>
      </c>
      <c r="B18" s="595"/>
      <c r="C18" s="595"/>
      <c r="D18" s="595"/>
      <c r="E18" s="595"/>
      <c r="F18" s="595"/>
      <c r="G18" s="595"/>
      <c r="H18" s="595"/>
      <c r="I18" s="595"/>
      <c r="J18" s="595"/>
      <c r="K18" s="595"/>
      <c r="L18" s="595"/>
    </row>
    <row r="19" spans="1:13" s="4" customFormat="1" ht="24.75" customHeight="1" x14ac:dyDescent="0.2">
      <c r="A19" s="595" t="s">
        <v>530</v>
      </c>
      <c r="B19" s="595"/>
      <c r="C19" s="595"/>
      <c r="D19" s="595"/>
      <c r="E19" s="595"/>
      <c r="F19" s="595"/>
      <c r="G19" s="595"/>
      <c r="H19" s="595"/>
      <c r="I19" s="595"/>
      <c r="J19" s="595"/>
      <c r="K19" s="595"/>
      <c r="L19" s="595"/>
    </row>
    <row r="20" spans="1:13" s="4" customFormat="1" ht="28.35" customHeight="1" x14ac:dyDescent="0.2"/>
  </sheetData>
  <mergeCells count="6">
    <mergeCell ref="A19:L19"/>
    <mergeCell ref="A2:A3"/>
    <mergeCell ref="B2:B3"/>
    <mergeCell ref="C2:G2"/>
    <mergeCell ref="H2:L2"/>
    <mergeCell ref="A18:L18"/>
  </mergeCells>
  <pageMargins left="0.78431372549019618" right="0.78431372549019618" top="0.98039215686274517" bottom="0.98039215686274517" header="0.50980392156862753" footer="0.50980392156862753"/>
  <pageSetup paperSize="9" scale="74" orientation="landscape" useFirstPageNumber="1"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zoomScaleNormal="100" workbookViewId="0">
      <selection activeCell="G17" sqref="G17"/>
    </sheetView>
  </sheetViews>
  <sheetFormatPr defaultRowHeight="12.75" x14ac:dyDescent="0.2"/>
  <cols>
    <col min="1" max="5" width="14.7109375" bestFit="1" customWidth="1"/>
    <col min="6" max="6" width="14.140625" bestFit="1" customWidth="1"/>
    <col min="7" max="9" width="14.7109375" bestFit="1" customWidth="1"/>
    <col min="10" max="10" width="9.85546875" bestFit="1" customWidth="1"/>
    <col min="11" max="11" width="19.5703125" bestFit="1" customWidth="1"/>
    <col min="12" max="12" width="4.7109375" bestFit="1" customWidth="1"/>
  </cols>
  <sheetData>
    <row r="1" spans="1:11" ht="16.5" customHeight="1" x14ac:dyDescent="0.25">
      <c r="A1" s="612" t="str">
        <f>'Data Summary'!$A$64</f>
        <v>Table 62:  Progress of Dematerialisation at NSDL and CDSL (Listed and Unlisted Companies)</v>
      </c>
      <c r="B1" s="612"/>
      <c r="C1" s="612"/>
      <c r="D1" s="612"/>
      <c r="E1" s="612"/>
      <c r="F1" s="612"/>
      <c r="G1" s="612"/>
      <c r="H1" s="612"/>
      <c r="I1" s="612"/>
      <c r="J1" s="612"/>
      <c r="K1" s="123"/>
    </row>
    <row r="2" spans="1:11" s="4" customFormat="1" ht="18" customHeight="1" x14ac:dyDescent="0.2">
      <c r="A2" s="581" t="s">
        <v>82</v>
      </c>
      <c r="B2" s="618" t="s">
        <v>508</v>
      </c>
      <c r="C2" s="619"/>
      <c r="D2" s="619"/>
      <c r="E2" s="619"/>
      <c r="F2" s="620"/>
      <c r="G2" s="618" t="s">
        <v>509</v>
      </c>
      <c r="H2" s="619"/>
      <c r="I2" s="619"/>
      <c r="J2" s="619"/>
      <c r="K2" s="620"/>
    </row>
    <row r="3" spans="1:11" s="4" customFormat="1" ht="55.5" customHeight="1" x14ac:dyDescent="0.2">
      <c r="A3" s="583"/>
      <c r="B3" s="124" t="s">
        <v>531</v>
      </c>
      <c r="C3" s="124" t="s">
        <v>532</v>
      </c>
      <c r="D3" s="304" t="s">
        <v>533</v>
      </c>
      <c r="E3" s="304" t="s">
        <v>534</v>
      </c>
      <c r="F3" s="7" t="s">
        <v>535</v>
      </c>
      <c r="G3" s="124" t="s">
        <v>531</v>
      </c>
      <c r="H3" s="124" t="s">
        <v>532</v>
      </c>
      <c r="I3" s="304" t="s">
        <v>533</v>
      </c>
      <c r="J3" s="304" t="s">
        <v>534</v>
      </c>
      <c r="K3" s="7" t="s">
        <v>536</v>
      </c>
    </row>
    <row r="4" spans="1:11" s="4" customFormat="1" ht="18" customHeight="1" x14ac:dyDescent="0.25">
      <c r="A4" s="148" t="s">
        <v>5</v>
      </c>
      <c r="B4" s="149">
        <v>25233</v>
      </c>
      <c r="C4" s="149">
        <v>277</v>
      </c>
      <c r="D4" s="149">
        <v>30741</v>
      </c>
      <c r="E4" s="159">
        <v>1867407.56</v>
      </c>
      <c r="F4" s="163">
        <v>18680372.414999999</v>
      </c>
      <c r="G4" s="149">
        <v>12757</v>
      </c>
      <c r="H4" s="149">
        <v>597</v>
      </c>
      <c r="I4" s="149">
        <v>19460</v>
      </c>
      <c r="J4" s="159">
        <v>361876.12</v>
      </c>
      <c r="K4" s="159">
        <v>2079693.49</v>
      </c>
    </row>
    <row r="5" spans="1:11" s="4" customFormat="1" ht="18" customHeight="1" x14ac:dyDescent="0.25">
      <c r="A5" s="148" t="s">
        <v>6</v>
      </c>
      <c r="B5" s="149">
        <v>26513</v>
      </c>
      <c r="C5" s="149" t="s">
        <v>1003</v>
      </c>
      <c r="D5" s="149">
        <v>30946</v>
      </c>
      <c r="E5" s="159">
        <v>1958061.61</v>
      </c>
      <c r="F5" s="163">
        <v>19580616.100000001</v>
      </c>
      <c r="G5" s="149">
        <v>13218</v>
      </c>
      <c r="H5" s="149">
        <v>599</v>
      </c>
      <c r="I5" s="149">
        <v>19428</v>
      </c>
      <c r="J5" s="159">
        <v>396126.75083944702</v>
      </c>
      <c r="K5" s="159">
        <v>2171374.1180000002</v>
      </c>
    </row>
    <row r="6" spans="1:11" s="4" customFormat="1" ht="18" customHeight="1" x14ac:dyDescent="0.25">
      <c r="A6" s="229" t="s">
        <v>70</v>
      </c>
      <c r="B6" s="149">
        <v>25841</v>
      </c>
      <c r="C6" s="149">
        <v>278</v>
      </c>
      <c r="D6" s="149">
        <v>30898</v>
      </c>
      <c r="E6" s="159">
        <v>1898007.04</v>
      </c>
      <c r="F6" s="163">
        <v>18846586.460000001</v>
      </c>
      <c r="G6" s="149">
        <v>13009</v>
      </c>
      <c r="H6" s="149">
        <v>598</v>
      </c>
      <c r="I6" s="149">
        <v>19461</v>
      </c>
      <c r="J6" s="159">
        <v>373897.06</v>
      </c>
      <c r="K6" s="159">
        <v>2079779.43</v>
      </c>
    </row>
    <row r="7" spans="1:11" s="4" customFormat="1" ht="18" customHeight="1" x14ac:dyDescent="0.25">
      <c r="A7" s="230">
        <v>43586</v>
      </c>
      <c r="B7" s="149">
        <v>26513</v>
      </c>
      <c r="C7" s="149" t="s">
        <v>1003</v>
      </c>
      <c r="D7" s="149">
        <v>30946</v>
      </c>
      <c r="E7" s="159">
        <v>1958061.61</v>
      </c>
      <c r="F7" s="163">
        <v>19580616.100000001</v>
      </c>
      <c r="G7" s="149">
        <v>13218</v>
      </c>
      <c r="H7" s="149">
        <v>599</v>
      </c>
      <c r="I7" s="149">
        <v>19428</v>
      </c>
      <c r="J7" s="159">
        <v>396126.75083944702</v>
      </c>
      <c r="K7" s="159">
        <v>2171374.1180000002</v>
      </c>
    </row>
    <row r="8" spans="1:11" s="4" customFormat="1" ht="18.75" customHeight="1" x14ac:dyDescent="0.2">
      <c r="A8" s="705" t="s">
        <v>537</v>
      </c>
      <c r="B8" s="705"/>
      <c r="C8" s="705"/>
      <c r="D8" s="705"/>
      <c r="E8" s="705"/>
      <c r="F8" s="705"/>
      <c r="G8" s="705"/>
      <c r="H8" s="705"/>
      <c r="I8" s="125"/>
      <c r="J8" s="125"/>
      <c r="K8" s="125"/>
    </row>
    <row r="9" spans="1:11" s="4" customFormat="1" ht="18" customHeight="1" x14ac:dyDescent="0.2">
      <c r="A9" s="575" t="s">
        <v>538</v>
      </c>
      <c r="B9" s="575"/>
      <c r="C9" s="575"/>
      <c r="D9" s="575"/>
      <c r="E9" s="575"/>
      <c r="F9" s="575"/>
      <c r="G9" s="575"/>
      <c r="H9" s="575"/>
      <c r="I9" s="125"/>
      <c r="J9" s="125"/>
      <c r="K9" s="125"/>
    </row>
    <row r="10" spans="1:11" s="4" customFormat="1" ht="18" customHeight="1" x14ac:dyDescent="0.2">
      <c r="A10" s="575" t="s">
        <v>530</v>
      </c>
      <c r="B10" s="575"/>
      <c r="C10" s="575"/>
      <c r="D10" s="575"/>
      <c r="E10" s="575"/>
      <c r="F10" s="575"/>
      <c r="G10" s="575"/>
      <c r="H10" s="575"/>
      <c r="I10" s="125"/>
      <c r="J10" s="125"/>
      <c r="K10" s="125"/>
    </row>
    <row r="11" spans="1:11" s="4" customFormat="1" ht="28.35" customHeight="1" x14ac:dyDescent="0.2"/>
  </sheetData>
  <mergeCells count="7">
    <mergeCell ref="A10:H10"/>
    <mergeCell ref="A1:J1"/>
    <mergeCell ref="A2:A3"/>
    <mergeCell ref="B2:F2"/>
    <mergeCell ref="G2:K2"/>
    <mergeCell ref="A8:H8"/>
    <mergeCell ref="A9:H9"/>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Normal="100" workbookViewId="0">
      <selection activeCell="E12" sqref="E12"/>
    </sheetView>
  </sheetViews>
  <sheetFormatPr defaultRowHeight="12.75" x14ac:dyDescent="0.2"/>
  <cols>
    <col min="1" max="1" width="27.85546875" bestFit="1" customWidth="1"/>
    <col min="2" max="2" width="14.7109375" bestFit="1" customWidth="1"/>
    <col min="3" max="10" width="13.5703125" bestFit="1" customWidth="1"/>
    <col min="11" max="11" width="4.7109375" bestFit="1" customWidth="1"/>
  </cols>
  <sheetData>
    <row r="1" spans="1:10" ht="15.75" customHeight="1" x14ac:dyDescent="0.25">
      <c r="A1" s="248" t="str">
        <f>'Data Summary'!$A$65</f>
        <v>Table 63:  Depository Statistics</v>
      </c>
      <c r="B1" s="123"/>
      <c r="C1" s="123"/>
      <c r="D1" s="123"/>
      <c r="E1" s="123"/>
      <c r="F1" s="123"/>
      <c r="G1" s="123"/>
      <c r="H1" s="123"/>
      <c r="I1" s="123"/>
      <c r="J1" s="123"/>
    </row>
    <row r="2" spans="1:10" s="4" customFormat="1" ht="18" customHeight="1" x14ac:dyDescent="0.2">
      <c r="A2" s="581" t="s">
        <v>495</v>
      </c>
      <c r="B2" s="581" t="s">
        <v>507</v>
      </c>
      <c r="C2" s="618" t="s">
        <v>78</v>
      </c>
      <c r="D2" s="620"/>
      <c r="E2" s="618" t="s">
        <v>53</v>
      </c>
      <c r="F2" s="620"/>
      <c r="G2" s="618" t="s">
        <v>199</v>
      </c>
      <c r="H2" s="620"/>
      <c r="I2" s="618" t="s">
        <v>64</v>
      </c>
      <c r="J2" s="620"/>
    </row>
    <row r="3" spans="1:10" s="4" customFormat="1" ht="16.5" customHeight="1" x14ac:dyDescent="0.2">
      <c r="A3" s="583"/>
      <c r="B3" s="583"/>
      <c r="C3" s="152" t="s">
        <v>75</v>
      </c>
      <c r="D3" s="152" t="s">
        <v>539</v>
      </c>
      <c r="E3" s="152" t="s">
        <v>75</v>
      </c>
      <c r="F3" s="152" t="s">
        <v>539</v>
      </c>
      <c r="G3" s="152" t="s">
        <v>75</v>
      </c>
      <c r="H3" s="152" t="s">
        <v>539</v>
      </c>
      <c r="I3" s="152" t="s">
        <v>75</v>
      </c>
      <c r="J3" s="152" t="s">
        <v>539</v>
      </c>
    </row>
    <row r="4" spans="1:10" s="4" customFormat="1" ht="18" customHeight="1" x14ac:dyDescent="0.2">
      <c r="A4" s="706" t="s">
        <v>508</v>
      </c>
      <c r="B4" s="707"/>
      <c r="C4" s="707"/>
      <c r="D4" s="707"/>
      <c r="E4" s="707"/>
      <c r="F4" s="707"/>
      <c r="G4" s="707"/>
      <c r="H4" s="707"/>
      <c r="I4" s="707"/>
      <c r="J4" s="708"/>
    </row>
    <row r="5" spans="1:10" s="4" customFormat="1" ht="27" customHeight="1" x14ac:dyDescent="0.25">
      <c r="A5" s="322" t="s">
        <v>540</v>
      </c>
      <c r="B5" s="152" t="s">
        <v>541</v>
      </c>
      <c r="C5" s="323">
        <v>798</v>
      </c>
      <c r="D5" s="323">
        <v>1809</v>
      </c>
      <c r="E5" s="324">
        <v>5641</v>
      </c>
      <c r="F5" s="324">
        <v>17458</v>
      </c>
      <c r="G5" s="324">
        <v>110</v>
      </c>
      <c r="H5" s="324">
        <v>4772</v>
      </c>
      <c r="I5" s="324">
        <v>6549</v>
      </c>
      <c r="J5" s="324">
        <v>24039</v>
      </c>
    </row>
    <row r="6" spans="1:10" s="4" customFormat="1" ht="15" customHeight="1" x14ac:dyDescent="0.25">
      <c r="A6" s="322" t="s">
        <v>542</v>
      </c>
      <c r="B6" s="152" t="s">
        <v>541</v>
      </c>
      <c r="C6" s="324">
        <v>10434</v>
      </c>
      <c r="D6" s="324">
        <v>6488</v>
      </c>
      <c r="E6" s="323">
        <v>11371</v>
      </c>
      <c r="F6" s="323">
        <v>18820</v>
      </c>
      <c r="G6" s="324">
        <v>8468</v>
      </c>
      <c r="H6" s="324">
        <v>33317</v>
      </c>
      <c r="I6" s="324">
        <v>30273</v>
      </c>
      <c r="J6" s="324">
        <v>58625</v>
      </c>
    </row>
    <row r="7" spans="1:10" s="4" customFormat="1" ht="15" customHeight="1" x14ac:dyDescent="0.25">
      <c r="A7" s="322" t="s">
        <v>543</v>
      </c>
      <c r="B7" s="152" t="s">
        <v>544</v>
      </c>
      <c r="C7" s="324">
        <v>115448.65269</v>
      </c>
      <c r="D7" s="324">
        <v>498855.08081999997</v>
      </c>
      <c r="E7" s="324">
        <v>5304001.7486399999</v>
      </c>
      <c r="F7" s="324">
        <v>8924766.2031900007</v>
      </c>
      <c r="G7" s="324">
        <v>284491.55777197005</v>
      </c>
      <c r="H7" s="324">
        <v>4453052.8696112577</v>
      </c>
      <c r="I7" s="324">
        <v>5703941.9591019694</v>
      </c>
      <c r="J7" s="324">
        <v>13876674.153621258</v>
      </c>
    </row>
    <row r="8" spans="1:10" s="4" customFormat="1" ht="15" customHeight="1" x14ac:dyDescent="0.25">
      <c r="A8" s="322" t="s">
        <v>545</v>
      </c>
      <c r="B8" s="152" t="s">
        <v>546</v>
      </c>
      <c r="C8" s="324">
        <v>2617195.8587309988</v>
      </c>
      <c r="D8" s="324">
        <v>499350.64004965418</v>
      </c>
      <c r="E8" s="324">
        <v>13362484.90353876</v>
      </c>
      <c r="F8" s="324">
        <v>885239.75377139007</v>
      </c>
      <c r="G8" s="324">
        <v>218190.46226167359</v>
      </c>
      <c r="H8" s="324">
        <v>1452672.8683675877</v>
      </c>
      <c r="I8" s="324">
        <v>16197871.224531431</v>
      </c>
      <c r="J8" s="324">
        <v>2837263.262188632</v>
      </c>
    </row>
    <row r="9" spans="1:10" s="4" customFormat="1" ht="27" customHeight="1" x14ac:dyDescent="0.25">
      <c r="A9" s="322" t="s">
        <v>547</v>
      </c>
      <c r="B9" s="152" t="s">
        <v>548</v>
      </c>
      <c r="C9" s="321">
        <v>10910.55438</v>
      </c>
      <c r="D9" s="321">
        <v>1365.9414300000001</v>
      </c>
      <c r="E9" s="321">
        <v>106984.76659</v>
      </c>
      <c r="F9" s="321">
        <v>76.678579999999997</v>
      </c>
      <c r="G9" s="321">
        <v>3204.8976074000002</v>
      </c>
      <c r="H9" s="321">
        <v>1594.1970537799991</v>
      </c>
      <c r="I9" s="321">
        <v>121100.2185774</v>
      </c>
      <c r="J9" s="321">
        <v>3036.8170637799994</v>
      </c>
    </row>
    <row r="10" spans="1:10" s="4" customFormat="1" ht="15" customHeight="1" x14ac:dyDescent="0.25">
      <c r="A10" s="322" t="s">
        <v>549</v>
      </c>
      <c r="B10" s="152" t="s">
        <v>550</v>
      </c>
      <c r="C10" s="321">
        <v>425829.95004859997</v>
      </c>
      <c r="D10" s="321">
        <v>27763.259377999999</v>
      </c>
      <c r="E10" s="321">
        <v>280401.67190857691</v>
      </c>
      <c r="F10" s="321">
        <v>20.303305119999997</v>
      </c>
      <c r="G10" s="321">
        <v>2717.3351734200005</v>
      </c>
      <c r="H10" s="321">
        <v>458.66473480100069</v>
      </c>
      <c r="I10" s="321">
        <v>708948.95713059697</v>
      </c>
      <c r="J10" s="321">
        <v>28242.227417921</v>
      </c>
    </row>
    <row r="11" spans="1:10" s="4" customFormat="1" ht="18" customHeight="1" x14ac:dyDescent="0.2">
      <c r="A11" s="706" t="s">
        <v>509</v>
      </c>
      <c r="B11" s="707"/>
      <c r="C11" s="707"/>
      <c r="D11" s="707"/>
      <c r="E11" s="707"/>
      <c r="F11" s="707"/>
      <c r="G11" s="707"/>
      <c r="H11" s="707"/>
      <c r="I11" s="707"/>
      <c r="J11" s="708"/>
    </row>
    <row r="12" spans="1:10" s="4" customFormat="1" ht="27" customHeight="1" x14ac:dyDescent="0.25">
      <c r="A12" s="322" t="s">
        <v>551</v>
      </c>
      <c r="B12" s="152" t="s">
        <v>541</v>
      </c>
      <c r="C12" s="325">
        <v>559</v>
      </c>
      <c r="D12" s="325">
        <v>415</v>
      </c>
      <c r="E12" s="325">
        <v>6295</v>
      </c>
      <c r="F12" s="325">
        <v>6542</v>
      </c>
      <c r="G12" s="325">
        <v>2466</v>
      </c>
      <c r="H12" s="325">
        <v>573</v>
      </c>
      <c r="I12" s="325">
        <v>9320</v>
      </c>
      <c r="J12" s="325">
        <v>7530</v>
      </c>
    </row>
    <row r="13" spans="1:10" s="4" customFormat="1" ht="15" customHeight="1" x14ac:dyDescent="0.25">
      <c r="A13" s="322" t="s">
        <v>552</v>
      </c>
      <c r="B13" s="152" t="s">
        <v>541</v>
      </c>
      <c r="C13" s="325">
        <v>7965</v>
      </c>
      <c r="D13" s="325">
        <v>2401</v>
      </c>
      <c r="E13" s="325">
        <v>5717</v>
      </c>
      <c r="F13" s="325">
        <v>6794</v>
      </c>
      <c r="G13" s="325">
        <v>19498</v>
      </c>
      <c r="H13" s="325">
        <v>1987</v>
      </c>
      <c r="I13" s="325">
        <v>33180</v>
      </c>
      <c r="J13" s="325">
        <v>11182</v>
      </c>
    </row>
    <row r="14" spans="1:10" s="4" customFormat="1" ht="15" customHeight="1" x14ac:dyDescent="0.25">
      <c r="A14" s="322" t="s">
        <v>543</v>
      </c>
      <c r="B14" s="152" t="s">
        <v>553</v>
      </c>
      <c r="C14" s="326">
        <v>3013.8972899999999</v>
      </c>
      <c r="D14" s="326">
        <v>148184.71185000002</v>
      </c>
      <c r="E14" s="326">
        <v>2033315.1714399999</v>
      </c>
      <c r="F14" s="326">
        <v>1455134.7512700001</v>
      </c>
      <c r="G14" s="326">
        <v>156638.21286296</v>
      </c>
      <c r="H14" s="326">
        <v>164980.76368151</v>
      </c>
      <c r="I14" s="326">
        <v>2192967.28159296</v>
      </c>
      <c r="J14" s="326">
        <v>1768300.2268015102</v>
      </c>
    </row>
    <row r="15" spans="1:10" s="4" customFormat="1" ht="15" customHeight="1" x14ac:dyDescent="0.25">
      <c r="A15" s="322" t="s">
        <v>545</v>
      </c>
      <c r="B15" s="152" t="s">
        <v>554</v>
      </c>
      <c r="C15" s="326">
        <v>61958.142500000002</v>
      </c>
      <c r="D15" s="326">
        <v>38446.302900000002</v>
      </c>
      <c r="E15" s="326">
        <v>1838467.7557000001</v>
      </c>
      <c r="F15" s="326">
        <v>141418.04749999999</v>
      </c>
      <c r="G15" s="326">
        <v>65629.045899999997</v>
      </c>
      <c r="H15" s="326">
        <v>25454.823499999999</v>
      </c>
      <c r="I15" s="326">
        <v>1966054.9441000002</v>
      </c>
      <c r="J15" s="326">
        <v>205319.17389999999</v>
      </c>
    </row>
    <row r="16" spans="1:10" s="4" customFormat="1" ht="27" customHeight="1" x14ac:dyDescent="0.25">
      <c r="A16" s="322" t="s">
        <v>547</v>
      </c>
      <c r="B16" s="152" t="s">
        <v>553</v>
      </c>
      <c r="C16" s="326">
        <v>25.474570000000003</v>
      </c>
      <c r="D16" s="326">
        <v>0</v>
      </c>
      <c r="E16" s="326">
        <v>58223.98962</v>
      </c>
      <c r="F16" s="326">
        <v>0</v>
      </c>
      <c r="G16" s="326">
        <v>13855.625226600001</v>
      </c>
      <c r="H16" s="326">
        <v>0</v>
      </c>
      <c r="I16" s="326">
        <v>72105.089416599993</v>
      </c>
      <c r="J16" s="326">
        <v>0</v>
      </c>
    </row>
    <row r="17" spans="1:10" s="4" customFormat="1" ht="15" customHeight="1" x14ac:dyDescent="0.25">
      <c r="A17" s="322" t="s">
        <v>549</v>
      </c>
      <c r="B17" s="152" t="s">
        <v>554</v>
      </c>
      <c r="C17" s="326">
        <v>1289.8024167999999</v>
      </c>
      <c r="D17" s="326">
        <v>0</v>
      </c>
      <c r="E17" s="326">
        <v>59070.993810426</v>
      </c>
      <c r="F17" s="326">
        <v>0</v>
      </c>
      <c r="G17" s="326">
        <v>11479.9227348</v>
      </c>
      <c r="H17" s="326">
        <v>0</v>
      </c>
      <c r="I17" s="326">
        <v>71840.718962026003</v>
      </c>
      <c r="J17" s="326">
        <v>0</v>
      </c>
    </row>
    <row r="18" spans="1:10" s="4" customFormat="1" ht="14.25" customHeight="1" x14ac:dyDescent="0.2">
      <c r="A18" s="594" t="s">
        <v>555</v>
      </c>
      <c r="B18" s="594"/>
      <c r="C18" s="594"/>
      <c r="D18" s="594"/>
      <c r="E18" s="594"/>
      <c r="F18" s="594"/>
      <c r="G18" s="594"/>
      <c r="H18" s="594"/>
      <c r="I18" s="594"/>
      <c r="J18" s="594"/>
    </row>
    <row r="19" spans="1:10" s="4" customFormat="1" ht="13.5" customHeight="1" x14ac:dyDescent="0.2">
      <c r="A19" s="594" t="s">
        <v>530</v>
      </c>
      <c r="B19" s="594"/>
      <c r="C19" s="594"/>
      <c r="D19" s="594"/>
      <c r="E19" s="594"/>
      <c r="F19" s="594"/>
      <c r="G19" s="594"/>
      <c r="H19" s="594"/>
      <c r="I19" s="594"/>
      <c r="J19" s="594"/>
    </row>
    <row r="20" spans="1:10" s="4" customFormat="1" ht="27.6" customHeight="1" x14ac:dyDescent="0.2"/>
  </sheetData>
  <mergeCells count="10">
    <mergeCell ref="A4:J4"/>
    <mergeCell ref="A11:J11"/>
    <mergeCell ref="A18:J18"/>
    <mergeCell ref="A19:J19"/>
    <mergeCell ref="A2:A3"/>
    <mergeCell ref="B2:B3"/>
    <mergeCell ref="C2:D2"/>
    <mergeCell ref="E2:F2"/>
    <mergeCell ref="G2:H2"/>
    <mergeCell ref="I2:J2"/>
  </mergeCells>
  <pageMargins left="0.78431372549019618" right="0.78431372549019618" top="0.98039215686274517" bottom="0.98039215686274517" header="0.50980392156862753" footer="0.50980392156862753"/>
  <pageSetup paperSize="9" orientation="landscape" useFirstPageNumber="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view="pageBreakPreview" zoomScaleNormal="115" zoomScaleSheetLayoutView="100" workbookViewId="0">
      <selection activeCell="E15" sqref="E15"/>
    </sheetView>
  </sheetViews>
  <sheetFormatPr defaultRowHeight="12.75" x14ac:dyDescent="0.2"/>
  <cols>
    <col min="1" max="1" width="9.140625" style="62" customWidth="1"/>
    <col min="2" max="2" width="18.5703125" style="62" customWidth="1"/>
    <col min="3" max="3" width="10.140625" style="62" bestFit="1" customWidth="1"/>
    <col min="4" max="4" width="11.42578125" style="62" customWidth="1"/>
    <col min="5" max="5" width="7.42578125" style="62" bestFit="1" customWidth="1"/>
    <col min="6" max="6" width="7.140625" style="62" bestFit="1" customWidth="1"/>
    <col min="7" max="7" width="8.7109375" style="62" bestFit="1" customWidth="1"/>
    <col min="8" max="8" width="10.42578125" style="62" customWidth="1"/>
    <col min="9" max="9" width="8.7109375" style="62" customWidth="1"/>
    <col min="10" max="10" width="6.7109375" style="62" bestFit="1" customWidth="1"/>
    <col min="11" max="11" width="10.140625" style="62" bestFit="1" customWidth="1"/>
    <col min="12" max="16384" width="9.140625" style="62"/>
  </cols>
  <sheetData>
    <row r="1" spans="1:16" ht="15.75" thickBot="1" x14ac:dyDescent="0.25">
      <c r="A1" s="132" t="s">
        <v>1063</v>
      </c>
      <c r="B1" s="61"/>
      <c r="C1" s="61"/>
      <c r="D1" s="61"/>
      <c r="E1" s="61"/>
      <c r="F1" s="61"/>
      <c r="G1" s="61"/>
      <c r="H1" s="61"/>
      <c r="I1" s="61"/>
      <c r="J1" s="61"/>
    </row>
    <row r="2" spans="1:16" ht="15" x14ac:dyDescent="0.2">
      <c r="A2" s="711" t="s">
        <v>690</v>
      </c>
      <c r="B2" s="713" t="s">
        <v>495</v>
      </c>
      <c r="C2" s="715" t="s">
        <v>691</v>
      </c>
      <c r="D2" s="715"/>
      <c r="E2" s="715"/>
      <c r="F2" s="715"/>
      <c r="G2" s="715"/>
      <c r="H2" s="715" t="s">
        <v>692</v>
      </c>
      <c r="I2" s="715"/>
      <c r="J2" s="715"/>
      <c r="K2" s="716"/>
    </row>
    <row r="3" spans="1:16" ht="51.75" customHeight="1" x14ac:dyDescent="0.2">
      <c r="A3" s="712"/>
      <c r="B3" s="714"/>
      <c r="C3" s="327" t="s">
        <v>693</v>
      </c>
      <c r="D3" s="328" t="s">
        <v>694</v>
      </c>
      <c r="E3" s="327" t="s">
        <v>695</v>
      </c>
      <c r="F3" s="327" t="s">
        <v>696</v>
      </c>
      <c r="G3" s="328" t="s">
        <v>697</v>
      </c>
      <c r="H3" s="327" t="s">
        <v>693</v>
      </c>
      <c r="I3" s="328" t="s">
        <v>694</v>
      </c>
      <c r="J3" s="327" t="s">
        <v>695</v>
      </c>
      <c r="K3" s="329" t="s">
        <v>696</v>
      </c>
    </row>
    <row r="4" spans="1:16" ht="15" x14ac:dyDescent="0.25">
      <c r="A4" s="717" t="s">
        <v>698</v>
      </c>
      <c r="B4" s="330" t="s">
        <v>699</v>
      </c>
      <c r="C4" s="331">
        <v>18</v>
      </c>
      <c r="D4" s="331">
        <v>2</v>
      </c>
      <c r="E4" s="331">
        <v>1</v>
      </c>
      <c r="F4" s="331">
        <v>1</v>
      </c>
      <c r="G4" s="331">
        <v>0</v>
      </c>
      <c r="H4" s="331">
        <v>5</v>
      </c>
      <c r="I4" s="331">
        <v>0</v>
      </c>
      <c r="J4" s="331">
        <v>0</v>
      </c>
      <c r="K4" s="332">
        <v>0</v>
      </c>
      <c r="L4" s="63"/>
    </row>
    <row r="5" spans="1:16" ht="15" x14ac:dyDescent="0.25">
      <c r="A5" s="717"/>
      <c r="B5" s="330" t="s">
        <v>700</v>
      </c>
      <c r="C5" s="331">
        <v>18</v>
      </c>
      <c r="D5" s="331">
        <v>0</v>
      </c>
      <c r="E5" s="331">
        <v>0</v>
      </c>
      <c r="F5" s="331">
        <v>0</v>
      </c>
      <c r="G5" s="331">
        <v>0</v>
      </c>
      <c r="H5" s="331">
        <v>5</v>
      </c>
      <c r="I5" s="331">
        <v>0</v>
      </c>
      <c r="J5" s="331">
        <v>0</v>
      </c>
      <c r="K5" s="332">
        <v>0</v>
      </c>
      <c r="L5" s="63"/>
    </row>
    <row r="6" spans="1:16" ht="15" x14ac:dyDescent="0.25">
      <c r="A6" s="717"/>
      <c r="B6" s="330" t="s">
        <v>701</v>
      </c>
      <c r="C6" s="331">
        <v>15</v>
      </c>
      <c r="D6" s="331">
        <v>0</v>
      </c>
      <c r="E6" s="331">
        <v>0</v>
      </c>
      <c r="F6" s="331">
        <v>0</v>
      </c>
      <c r="G6" s="331">
        <v>0</v>
      </c>
      <c r="H6" s="331">
        <v>2</v>
      </c>
      <c r="I6" s="331">
        <v>0</v>
      </c>
      <c r="J6" s="331">
        <v>0</v>
      </c>
      <c r="K6" s="332">
        <v>0</v>
      </c>
      <c r="L6" s="63"/>
    </row>
    <row r="7" spans="1:16" ht="15" x14ac:dyDescent="0.25">
      <c r="A7" s="717" t="s">
        <v>702</v>
      </c>
      <c r="B7" s="330" t="s">
        <v>699</v>
      </c>
      <c r="C7" s="333">
        <v>8</v>
      </c>
      <c r="D7" s="333">
        <v>6</v>
      </c>
      <c r="E7" s="333">
        <v>3</v>
      </c>
      <c r="F7" s="333">
        <v>2</v>
      </c>
      <c r="G7" s="333">
        <v>0</v>
      </c>
      <c r="H7" s="333">
        <v>0</v>
      </c>
      <c r="I7" s="333">
        <v>2</v>
      </c>
      <c r="J7" s="333">
        <v>2</v>
      </c>
      <c r="K7" s="332">
        <v>1</v>
      </c>
    </row>
    <row r="8" spans="1:16" ht="15" x14ac:dyDescent="0.25">
      <c r="A8" s="717"/>
      <c r="B8" s="330" t="s">
        <v>700</v>
      </c>
      <c r="C8" s="333">
        <v>7</v>
      </c>
      <c r="D8" s="333">
        <v>6</v>
      </c>
      <c r="E8" s="333">
        <v>2</v>
      </c>
      <c r="F8" s="333">
        <v>2</v>
      </c>
      <c r="G8" s="333">
        <v>0</v>
      </c>
      <c r="H8" s="333">
        <v>0</v>
      </c>
      <c r="I8" s="333">
        <v>2</v>
      </c>
      <c r="J8" s="333">
        <v>2</v>
      </c>
      <c r="K8" s="332">
        <v>1</v>
      </c>
    </row>
    <row r="9" spans="1:16" ht="15" x14ac:dyDescent="0.25">
      <c r="A9" s="717"/>
      <c r="B9" s="330" t="s">
        <v>701</v>
      </c>
      <c r="C9" s="333">
        <v>4</v>
      </c>
      <c r="D9" s="333">
        <v>5</v>
      </c>
      <c r="E9" s="333">
        <v>2</v>
      </c>
      <c r="F9" s="333">
        <v>2</v>
      </c>
      <c r="G9" s="333">
        <v>0</v>
      </c>
      <c r="H9" s="333">
        <v>0</v>
      </c>
      <c r="I9" s="333">
        <v>2</v>
      </c>
      <c r="J9" s="333">
        <v>2</v>
      </c>
      <c r="K9" s="332">
        <v>1</v>
      </c>
    </row>
    <row r="10" spans="1:16" ht="15" x14ac:dyDescent="0.25">
      <c r="A10" s="717" t="s">
        <v>703</v>
      </c>
      <c r="B10" s="330" t="s">
        <v>699</v>
      </c>
      <c r="C10" s="333">
        <v>12</v>
      </c>
      <c r="D10" s="333">
        <v>1</v>
      </c>
      <c r="E10" s="333">
        <v>0</v>
      </c>
      <c r="F10" s="333">
        <v>0</v>
      </c>
      <c r="G10" s="331">
        <v>1</v>
      </c>
      <c r="H10" s="333">
        <v>0</v>
      </c>
      <c r="I10" s="333">
        <v>0</v>
      </c>
      <c r="J10" s="333">
        <v>0</v>
      </c>
      <c r="K10" s="334">
        <v>0</v>
      </c>
      <c r="M10" s="62" t="s">
        <v>704</v>
      </c>
    </row>
    <row r="11" spans="1:16" ht="15" x14ac:dyDescent="0.25">
      <c r="A11" s="717"/>
      <c r="B11" s="330" t="s">
        <v>700</v>
      </c>
      <c r="C11" s="333">
        <v>11</v>
      </c>
      <c r="D11" s="333">
        <v>1</v>
      </c>
      <c r="E11" s="333">
        <v>0</v>
      </c>
      <c r="F11" s="333">
        <v>0</v>
      </c>
      <c r="G11" s="331">
        <v>1</v>
      </c>
      <c r="H11" s="333">
        <v>0</v>
      </c>
      <c r="I11" s="333">
        <v>0</v>
      </c>
      <c r="J11" s="333">
        <v>0</v>
      </c>
      <c r="K11" s="334">
        <v>0</v>
      </c>
    </row>
    <row r="12" spans="1:16" ht="15" x14ac:dyDescent="0.25">
      <c r="A12" s="717"/>
      <c r="B12" s="330" t="s">
        <v>701</v>
      </c>
      <c r="C12" s="333">
        <v>3</v>
      </c>
      <c r="D12" s="333">
        <v>1</v>
      </c>
      <c r="E12" s="333">
        <v>0</v>
      </c>
      <c r="F12" s="333">
        <v>0</v>
      </c>
      <c r="G12" s="333">
        <v>1</v>
      </c>
      <c r="H12" s="333">
        <v>0</v>
      </c>
      <c r="I12" s="333">
        <v>0</v>
      </c>
      <c r="J12" s="333">
        <v>0</v>
      </c>
      <c r="K12" s="332">
        <v>0</v>
      </c>
    </row>
    <row r="13" spans="1:16" ht="15" x14ac:dyDescent="0.25">
      <c r="A13" s="709" t="s">
        <v>129</v>
      </c>
      <c r="B13" s="335" t="s">
        <v>699</v>
      </c>
      <c r="C13" s="333">
        <v>3</v>
      </c>
      <c r="D13" s="333">
        <v>1</v>
      </c>
      <c r="E13" s="333">
        <v>2</v>
      </c>
      <c r="F13" s="333">
        <v>1</v>
      </c>
      <c r="G13" s="333">
        <v>0</v>
      </c>
      <c r="H13" s="333">
        <v>0</v>
      </c>
      <c r="I13" s="333">
        <v>0</v>
      </c>
      <c r="J13" s="333">
        <v>0</v>
      </c>
      <c r="K13" s="332">
        <v>0</v>
      </c>
      <c r="P13" s="62" t="s">
        <v>704</v>
      </c>
    </row>
    <row r="14" spans="1:16" ht="15" customHeight="1" x14ac:dyDescent="0.25">
      <c r="A14" s="709"/>
      <c r="B14" s="335" t="s">
        <v>700</v>
      </c>
      <c r="C14" s="333">
        <v>3</v>
      </c>
      <c r="D14" s="333">
        <v>1</v>
      </c>
      <c r="E14" s="333">
        <v>2</v>
      </c>
      <c r="F14" s="333">
        <v>1</v>
      </c>
      <c r="G14" s="333">
        <v>0</v>
      </c>
      <c r="H14" s="333">
        <v>0</v>
      </c>
      <c r="I14" s="333">
        <v>0</v>
      </c>
      <c r="J14" s="333">
        <v>0</v>
      </c>
      <c r="K14" s="332">
        <v>0</v>
      </c>
    </row>
    <row r="15" spans="1:16" ht="15.75" customHeight="1" x14ac:dyDescent="0.25">
      <c r="A15" s="709"/>
      <c r="B15" s="335" t="s">
        <v>701</v>
      </c>
      <c r="C15" s="333">
        <v>3</v>
      </c>
      <c r="D15" s="333">
        <v>1</v>
      </c>
      <c r="E15" s="333">
        <v>2</v>
      </c>
      <c r="F15" s="333">
        <v>0</v>
      </c>
      <c r="G15" s="333">
        <v>0</v>
      </c>
      <c r="H15" s="333">
        <v>0</v>
      </c>
      <c r="I15" s="333">
        <v>0</v>
      </c>
      <c r="J15" s="333">
        <v>0</v>
      </c>
      <c r="K15" s="332">
        <v>0</v>
      </c>
      <c r="N15" s="62" t="s">
        <v>704</v>
      </c>
    </row>
    <row r="16" spans="1:16" ht="15.75" customHeight="1" x14ac:dyDescent="0.25">
      <c r="A16" s="709" t="s">
        <v>130</v>
      </c>
      <c r="B16" s="335" t="s">
        <v>699</v>
      </c>
      <c r="C16" s="333">
        <v>0</v>
      </c>
      <c r="D16" s="333">
        <v>1</v>
      </c>
      <c r="E16" s="333">
        <v>2</v>
      </c>
      <c r="F16" s="333">
        <v>1</v>
      </c>
      <c r="G16" s="333">
        <v>0</v>
      </c>
      <c r="H16" s="333">
        <v>0</v>
      </c>
      <c r="I16" s="333">
        <v>0</v>
      </c>
      <c r="J16" s="333">
        <v>0</v>
      </c>
      <c r="K16" s="332">
        <v>0</v>
      </c>
    </row>
    <row r="17" spans="1:13" ht="15.75" customHeight="1" x14ac:dyDescent="0.25">
      <c r="A17" s="709"/>
      <c r="B17" s="335" t="s">
        <v>700</v>
      </c>
      <c r="C17" s="333">
        <v>0</v>
      </c>
      <c r="D17" s="333">
        <v>0</v>
      </c>
      <c r="E17" s="333">
        <v>2</v>
      </c>
      <c r="F17" s="333">
        <v>1</v>
      </c>
      <c r="G17" s="333">
        <v>0</v>
      </c>
      <c r="H17" s="333">
        <v>0</v>
      </c>
      <c r="I17" s="333">
        <v>0</v>
      </c>
      <c r="J17" s="333">
        <v>0</v>
      </c>
      <c r="K17" s="332">
        <v>0</v>
      </c>
    </row>
    <row r="18" spans="1:13" ht="15.75" customHeight="1" thickBot="1" x14ac:dyDescent="0.3">
      <c r="A18" s="710"/>
      <c r="B18" s="336" t="s">
        <v>701</v>
      </c>
      <c r="C18" s="337">
        <v>0</v>
      </c>
      <c r="D18" s="337">
        <v>0</v>
      </c>
      <c r="E18" s="337">
        <v>2</v>
      </c>
      <c r="F18" s="337">
        <v>1</v>
      </c>
      <c r="G18" s="337">
        <v>0</v>
      </c>
      <c r="H18" s="337">
        <v>0</v>
      </c>
      <c r="I18" s="337">
        <v>0</v>
      </c>
      <c r="J18" s="337">
        <v>0</v>
      </c>
      <c r="K18" s="338">
        <v>0</v>
      </c>
    </row>
    <row r="19" spans="1:13" ht="15" customHeight="1" x14ac:dyDescent="0.25">
      <c r="A19" s="64" t="s">
        <v>705</v>
      </c>
      <c r="B19" s="65"/>
      <c r="C19" s="65"/>
      <c r="D19" s="65"/>
      <c r="E19" s="65"/>
      <c r="F19" s="339"/>
      <c r="G19" s="339"/>
      <c r="H19" s="339"/>
      <c r="I19" s="339"/>
      <c r="J19" s="339"/>
      <c r="K19" s="340"/>
      <c r="M19" s="62" t="s">
        <v>704</v>
      </c>
    </row>
    <row r="20" spans="1:13" ht="15" customHeight="1" x14ac:dyDescent="0.2">
      <c r="B20" s="66"/>
      <c r="C20" s="66"/>
      <c r="D20" s="66"/>
      <c r="E20" s="66"/>
      <c r="F20" s="66"/>
      <c r="G20" s="66"/>
      <c r="H20" s="66"/>
      <c r="I20" s="66"/>
      <c r="J20" s="66"/>
    </row>
    <row r="29" spans="1:13" x14ac:dyDescent="0.2">
      <c r="E29" s="62" t="s">
        <v>704</v>
      </c>
    </row>
  </sheetData>
  <mergeCells count="9">
    <mergeCell ref="A16:A18"/>
    <mergeCell ref="A2:A3"/>
    <mergeCell ref="B2:B3"/>
    <mergeCell ref="C2:G2"/>
    <mergeCell ref="H2:K2"/>
    <mergeCell ref="A4:A6"/>
    <mergeCell ref="A7:A9"/>
    <mergeCell ref="A10:A12"/>
    <mergeCell ref="A13:A15"/>
  </mergeCells>
  <pageMargins left="0.7" right="0.7" top="0.75" bottom="0.75" header="0.3" footer="0.3"/>
  <pageSetup scale="85"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view="pageBreakPreview" zoomScaleNormal="115" zoomScaleSheetLayoutView="100" workbookViewId="0">
      <selection sqref="A1:I1"/>
    </sheetView>
  </sheetViews>
  <sheetFormatPr defaultRowHeight="12.75" x14ac:dyDescent="0.2"/>
  <cols>
    <col min="1" max="2" width="9" style="68" customWidth="1"/>
    <col min="3" max="5" width="10" style="68" customWidth="1"/>
    <col min="6" max="16384" width="9.140625" style="68"/>
  </cols>
  <sheetData>
    <row r="1" spans="1:11" s="67" customFormat="1" ht="15" customHeight="1" thickBot="1" x14ac:dyDescent="0.3">
      <c r="A1" s="718" t="s">
        <v>1062</v>
      </c>
      <c r="B1" s="719"/>
      <c r="C1" s="719"/>
      <c r="D1" s="719"/>
      <c r="E1" s="719"/>
      <c r="F1" s="719"/>
      <c r="G1" s="719"/>
      <c r="H1" s="719"/>
      <c r="I1" s="719"/>
    </row>
    <row r="2" spans="1:11" ht="16.5" customHeight="1" x14ac:dyDescent="0.2">
      <c r="A2" s="720" t="s">
        <v>490</v>
      </c>
      <c r="B2" s="722" t="s">
        <v>706</v>
      </c>
      <c r="C2" s="723"/>
      <c r="D2" s="723"/>
      <c r="E2" s="724"/>
      <c r="F2" s="722" t="s">
        <v>707</v>
      </c>
      <c r="G2" s="723"/>
      <c r="H2" s="723"/>
      <c r="I2" s="724"/>
    </row>
    <row r="3" spans="1:11" ht="15.75" customHeight="1" x14ac:dyDescent="0.2">
      <c r="A3" s="721"/>
      <c r="B3" s="341" t="s">
        <v>708</v>
      </c>
      <c r="C3" s="342" t="s">
        <v>163</v>
      </c>
      <c r="D3" s="342" t="s">
        <v>164</v>
      </c>
      <c r="E3" s="343" t="s">
        <v>165</v>
      </c>
      <c r="F3" s="341" t="s">
        <v>708</v>
      </c>
      <c r="G3" s="342" t="s">
        <v>163</v>
      </c>
      <c r="H3" s="342" t="s">
        <v>164</v>
      </c>
      <c r="I3" s="343" t="s">
        <v>165</v>
      </c>
    </row>
    <row r="4" spans="1:11" s="71" customFormat="1" ht="15" x14ac:dyDescent="0.25">
      <c r="A4" s="344" t="s">
        <v>5</v>
      </c>
      <c r="B4" s="345">
        <v>3662.99</v>
      </c>
      <c r="C4" s="345">
        <v>4172</v>
      </c>
      <c r="D4" s="345">
        <v>3312</v>
      </c>
      <c r="E4" s="345">
        <v>3739</v>
      </c>
      <c r="F4" s="345">
        <v>3051.23</v>
      </c>
      <c r="G4" s="345">
        <v>3590</v>
      </c>
      <c r="H4" s="345">
        <v>2838</v>
      </c>
      <c r="I4" s="345">
        <v>3414</v>
      </c>
      <c r="J4" s="69"/>
      <c r="K4" s="70"/>
    </row>
    <row r="5" spans="1:11" s="71" customFormat="1" ht="15" x14ac:dyDescent="0.25">
      <c r="A5" s="344" t="s">
        <v>6</v>
      </c>
      <c r="B5" s="345">
        <v>3742.4</v>
      </c>
      <c r="C5" s="345">
        <v>3839.61</v>
      </c>
      <c r="D5" s="345">
        <v>3742.4</v>
      </c>
      <c r="E5" s="345">
        <f>E7</f>
        <v>3576.74</v>
      </c>
      <c r="F5" s="345">
        <v>3450.3</v>
      </c>
      <c r="G5" s="345">
        <v>3604.18</v>
      </c>
      <c r="H5" s="345">
        <v>3450.33</v>
      </c>
      <c r="I5" s="345">
        <f>I7</f>
        <v>3614.86</v>
      </c>
      <c r="J5" s="69"/>
      <c r="K5" s="70"/>
    </row>
    <row r="6" spans="1:11" s="71" customFormat="1" ht="15" x14ac:dyDescent="0.25">
      <c r="A6" s="346">
        <v>43556</v>
      </c>
      <c r="B6" s="347">
        <v>3742.4</v>
      </c>
      <c r="C6" s="347">
        <v>3839.61</v>
      </c>
      <c r="D6" s="347">
        <v>3742.4</v>
      </c>
      <c r="E6" s="347">
        <v>3769.31</v>
      </c>
      <c r="F6" s="347">
        <v>3450.3</v>
      </c>
      <c r="G6" s="347">
        <v>3604.18</v>
      </c>
      <c r="H6" s="347">
        <v>3450.33</v>
      </c>
      <c r="I6" s="347">
        <v>3500.82</v>
      </c>
      <c r="J6" s="69"/>
      <c r="K6" s="70"/>
    </row>
    <row r="7" spans="1:11" ht="15" x14ac:dyDescent="0.25">
      <c r="A7" s="346">
        <v>43587</v>
      </c>
      <c r="B7" s="347">
        <v>3768.91</v>
      </c>
      <c r="C7" s="347">
        <v>3768.91</v>
      </c>
      <c r="D7" s="347">
        <v>3572.19</v>
      </c>
      <c r="E7" s="347">
        <v>3576.74</v>
      </c>
      <c r="F7" s="347">
        <v>3506.68</v>
      </c>
      <c r="G7" s="347">
        <v>3674.18</v>
      </c>
      <c r="H7" s="347">
        <v>3497.67</v>
      </c>
      <c r="I7" s="347">
        <v>3614.86</v>
      </c>
    </row>
    <row r="8" spans="1:11" x14ac:dyDescent="0.2">
      <c r="A8" s="257" t="str">
        <f>'[1]1'!A8</f>
        <v>$ indicates as on May 31, 2019</v>
      </c>
      <c r="B8" s="256"/>
      <c r="C8" s="256"/>
      <c r="D8" s="255"/>
      <c r="E8" s="255"/>
      <c r="F8" s="72"/>
      <c r="G8" s="72"/>
      <c r="H8" s="72"/>
      <c r="I8" s="72"/>
    </row>
    <row r="9" spans="1:11" s="71" customFormat="1" x14ac:dyDescent="0.2">
      <c r="A9" s="256" t="s">
        <v>709</v>
      </c>
      <c r="B9" s="257"/>
      <c r="C9" s="257"/>
      <c r="D9" s="72"/>
      <c r="E9" s="72" t="s">
        <v>704</v>
      </c>
      <c r="F9" s="72"/>
      <c r="G9" s="72"/>
      <c r="H9" s="72"/>
      <c r="I9" s="72"/>
    </row>
    <row r="10" spans="1:11" s="71" customFormat="1" x14ac:dyDescent="0.2">
      <c r="A10" s="72"/>
      <c r="B10" s="74"/>
      <c r="C10" s="72"/>
      <c r="D10" s="72"/>
      <c r="E10" s="72"/>
      <c r="F10" s="72"/>
      <c r="G10" s="72"/>
      <c r="H10" s="72"/>
      <c r="I10" s="72"/>
    </row>
  </sheetData>
  <mergeCells count="4">
    <mergeCell ref="A1:I1"/>
    <mergeCell ref="A2:A3"/>
    <mergeCell ref="B2:E2"/>
    <mergeCell ref="F2:I2"/>
  </mergeCells>
  <pageMargins left="0.7" right="0.7" top="0.75" bottom="0.75" header="0.3" footer="0.3"/>
  <pageSetup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view="pageBreakPreview" zoomScaleNormal="115" zoomScaleSheetLayoutView="100" workbookViewId="0">
      <selection sqref="A1:H1"/>
    </sheetView>
  </sheetViews>
  <sheetFormatPr defaultRowHeight="12.75" x14ac:dyDescent="0.2"/>
  <cols>
    <col min="1" max="1" width="9.140625" style="68" customWidth="1"/>
    <col min="2" max="2" width="7.140625" style="68" customWidth="1"/>
    <col min="3" max="3" width="11.28515625" style="68" bestFit="1" customWidth="1"/>
    <col min="4" max="5" width="10" style="68" customWidth="1"/>
    <col min="6" max="6" width="9.5703125" style="68" customWidth="1"/>
    <col min="7" max="7" width="11.140625" style="68" customWidth="1"/>
    <col min="8" max="8" width="10.7109375" style="68" customWidth="1"/>
    <col min="9" max="9" width="9.5703125" style="68" customWidth="1"/>
    <col min="10" max="10" width="12.5703125" style="68" customWidth="1"/>
    <col min="11" max="12" width="9.85546875" style="68" customWidth="1"/>
    <col min="13" max="13" width="12" style="68" customWidth="1"/>
    <col min="14" max="14" width="10.42578125" style="68" customWidth="1"/>
    <col min="15" max="15" width="12" style="77" customWidth="1"/>
    <col min="16" max="16" width="12.42578125" style="68" bestFit="1" customWidth="1"/>
    <col min="17" max="17" width="8.5703125" style="68" customWidth="1"/>
    <col min="18" max="18" width="9.140625" style="68"/>
    <col min="19" max="19" width="8.140625" style="68" bestFit="1" customWidth="1"/>
    <col min="20" max="16384" width="9.140625" style="68"/>
  </cols>
  <sheetData>
    <row r="1" spans="1:18" s="67" customFormat="1" ht="15" x14ac:dyDescent="0.25">
      <c r="A1" s="734" t="s">
        <v>1061</v>
      </c>
      <c r="B1" s="735"/>
      <c r="C1" s="735"/>
      <c r="D1" s="735"/>
      <c r="E1" s="735"/>
      <c r="F1" s="735"/>
      <c r="G1" s="735"/>
      <c r="H1" s="735"/>
      <c r="I1" s="735"/>
      <c r="J1" s="735"/>
      <c r="K1" s="735"/>
      <c r="L1" s="735"/>
      <c r="M1" s="735"/>
      <c r="N1" s="735"/>
      <c r="O1" s="735"/>
      <c r="P1" s="735"/>
      <c r="Q1" s="735"/>
    </row>
    <row r="2" spans="1:18" s="67" customFormat="1" ht="15" x14ac:dyDescent="0.25">
      <c r="A2" s="736" t="s">
        <v>710</v>
      </c>
      <c r="B2" s="736"/>
      <c r="C2" s="736"/>
      <c r="D2" s="736"/>
      <c r="E2" s="736"/>
      <c r="F2" s="736"/>
      <c r="G2" s="736"/>
      <c r="H2" s="736"/>
      <c r="I2" s="736"/>
      <c r="J2" s="736"/>
      <c r="K2" s="736"/>
      <c r="L2" s="736"/>
      <c r="M2" s="736"/>
      <c r="N2" s="736"/>
      <c r="O2" s="736"/>
      <c r="P2" s="736"/>
      <c r="Q2" s="736"/>
      <c r="R2" s="736"/>
    </row>
    <row r="3" spans="1:18" s="75" customFormat="1" ht="27.75" customHeight="1" x14ac:dyDescent="0.2">
      <c r="A3" s="732" t="s">
        <v>490</v>
      </c>
      <c r="B3" s="732" t="s">
        <v>711</v>
      </c>
      <c r="C3" s="737" t="s">
        <v>693</v>
      </c>
      <c r="D3" s="738"/>
      <c r="E3" s="739"/>
      <c r="F3" s="740" t="s">
        <v>712</v>
      </c>
      <c r="G3" s="740"/>
      <c r="H3" s="740"/>
      <c r="I3" s="740" t="s">
        <v>713</v>
      </c>
      <c r="J3" s="740"/>
      <c r="K3" s="740"/>
      <c r="L3" s="740" t="s">
        <v>714</v>
      </c>
      <c r="M3" s="740"/>
      <c r="N3" s="740"/>
      <c r="O3" s="741" t="s">
        <v>64</v>
      </c>
      <c r="P3" s="742"/>
      <c r="Q3" s="740" t="s">
        <v>715</v>
      </c>
      <c r="R3" s="740"/>
    </row>
    <row r="4" spans="1:18" s="75" customFormat="1" ht="38.25" customHeight="1" x14ac:dyDescent="0.2">
      <c r="A4" s="733"/>
      <c r="B4" s="733"/>
      <c r="C4" s="348" t="s">
        <v>716</v>
      </c>
      <c r="D4" s="348" t="s">
        <v>717</v>
      </c>
      <c r="E4" s="349" t="s">
        <v>1013</v>
      </c>
      <c r="F4" s="348" t="s">
        <v>716</v>
      </c>
      <c r="G4" s="348" t="s">
        <v>717</v>
      </c>
      <c r="H4" s="348" t="s">
        <v>1013</v>
      </c>
      <c r="I4" s="348" t="s">
        <v>716</v>
      </c>
      <c r="J4" s="348" t="s">
        <v>717</v>
      </c>
      <c r="K4" s="348" t="s">
        <v>1013</v>
      </c>
      <c r="L4" s="348" t="s">
        <v>718</v>
      </c>
      <c r="M4" s="348" t="s">
        <v>717</v>
      </c>
      <c r="N4" s="348" t="s">
        <v>1013</v>
      </c>
      <c r="O4" s="348" t="s">
        <v>717</v>
      </c>
      <c r="P4" s="348" t="s">
        <v>1013</v>
      </c>
      <c r="Q4" s="349" t="s">
        <v>719</v>
      </c>
      <c r="R4" s="350" t="s">
        <v>1014</v>
      </c>
    </row>
    <row r="5" spans="1:18" s="66" customFormat="1" ht="15" x14ac:dyDescent="0.25">
      <c r="A5" s="351" t="s">
        <v>5</v>
      </c>
      <c r="B5" s="352">
        <v>257</v>
      </c>
      <c r="C5" s="352">
        <v>9662.0726899999991</v>
      </c>
      <c r="D5" s="352">
        <v>1828722</v>
      </c>
      <c r="E5" s="352">
        <v>101232.75622780001</v>
      </c>
      <c r="F5" s="352">
        <v>111474.84255</v>
      </c>
      <c r="G5" s="352">
        <v>78835865</v>
      </c>
      <c r="H5" s="352">
        <v>2525601.2266747495</v>
      </c>
      <c r="I5" s="352">
        <v>168.65427792800003</v>
      </c>
      <c r="J5" s="352">
        <v>28837833</v>
      </c>
      <c r="K5" s="352">
        <v>1513817.2792994003</v>
      </c>
      <c r="L5" s="352">
        <v>671698.23484194512</v>
      </c>
      <c r="M5" s="352">
        <v>136946607</v>
      </c>
      <c r="N5" s="352">
        <v>2450777.1105934996</v>
      </c>
      <c r="O5" s="352">
        <v>246449027</v>
      </c>
      <c r="P5" s="352">
        <v>6591428.3727954486</v>
      </c>
      <c r="Q5" s="352">
        <v>313641</v>
      </c>
      <c r="R5" s="352">
        <v>14243.598900749999</v>
      </c>
    </row>
    <row r="6" spans="1:18" s="66" customFormat="1" ht="15" x14ac:dyDescent="0.25">
      <c r="A6" s="351" t="s">
        <v>6</v>
      </c>
      <c r="B6" s="352">
        <f>SUM(B7:B8)</f>
        <v>43</v>
      </c>
      <c r="C6" s="352">
        <f t="shared" ref="C6:M6" si="0">SUM(C7:C8)</f>
        <v>2056.27556</v>
      </c>
      <c r="D6" s="352">
        <f t="shared" si="0"/>
        <v>408795</v>
      </c>
      <c r="E6" s="352">
        <f t="shared" si="0"/>
        <v>22061.369729200007</v>
      </c>
      <c r="F6" s="352">
        <f t="shared" si="0"/>
        <v>13989.042649999999</v>
      </c>
      <c r="G6" s="352">
        <f t="shared" si="0"/>
        <v>11187810</v>
      </c>
      <c r="H6" s="352">
        <f t="shared" si="0"/>
        <v>338639.46113075002</v>
      </c>
      <c r="I6" s="352">
        <f t="shared" si="0"/>
        <v>31.042370412999997</v>
      </c>
      <c r="J6" s="352">
        <f t="shared" si="0"/>
        <v>5232202</v>
      </c>
      <c r="K6" s="352">
        <f t="shared" si="0"/>
        <v>286230.59620180016</v>
      </c>
      <c r="L6" s="352">
        <f t="shared" si="0"/>
        <v>151182.52470237849</v>
      </c>
      <c r="M6" s="352">
        <f t="shared" si="0"/>
        <v>30027487</v>
      </c>
      <c r="N6" s="352">
        <f>SUM(N7:N8)</f>
        <v>506975.21662399999</v>
      </c>
      <c r="O6" s="352">
        <f t="shared" ref="O6:P6" si="1">SUM(O7:O8)</f>
        <v>46856294</v>
      </c>
      <c r="P6" s="352">
        <f t="shared" si="1"/>
        <v>1153906.6436857502</v>
      </c>
      <c r="Q6" s="352">
        <f>Q8</f>
        <v>366531</v>
      </c>
      <c r="R6" s="352">
        <f>R8</f>
        <v>14973.5672381</v>
      </c>
    </row>
    <row r="7" spans="1:18" s="66" customFormat="1" ht="15" x14ac:dyDescent="0.25">
      <c r="A7" s="353">
        <v>43556</v>
      </c>
      <c r="B7" s="354">
        <v>20</v>
      </c>
      <c r="C7" s="354">
        <v>991.38808999999969</v>
      </c>
      <c r="D7" s="354">
        <v>196632</v>
      </c>
      <c r="E7" s="355">
        <v>10805.720484200001</v>
      </c>
      <c r="F7" s="354">
        <v>7029.8468499999972</v>
      </c>
      <c r="G7" s="354">
        <v>5565142</v>
      </c>
      <c r="H7" s="354">
        <v>172972.51855400001</v>
      </c>
      <c r="I7" s="354">
        <v>15.129268015000001</v>
      </c>
      <c r="J7" s="354">
        <v>2516285</v>
      </c>
      <c r="K7" s="354">
        <v>129663.01232870005</v>
      </c>
      <c r="L7" s="354">
        <v>62102.356971425492</v>
      </c>
      <c r="M7" s="354">
        <v>12417788</v>
      </c>
      <c r="N7" s="354">
        <v>213671.81312250005</v>
      </c>
      <c r="O7" s="354">
        <v>20695847</v>
      </c>
      <c r="P7" s="354">
        <v>527113.06448940013</v>
      </c>
      <c r="Q7" s="354">
        <v>318726</v>
      </c>
      <c r="R7" s="354">
        <v>13840.07858885</v>
      </c>
    </row>
    <row r="8" spans="1:18" s="71" customFormat="1" ht="15" x14ac:dyDescent="0.25">
      <c r="A8" s="353">
        <v>43587</v>
      </c>
      <c r="B8" s="354">
        <v>23</v>
      </c>
      <c r="C8" s="354">
        <v>1064.8874700000001</v>
      </c>
      <c r="D8" s="354">
        <v>212163</v>
      </c>
      <c r="E8" s="355">
        <v>11255.649245000004</v>
      </c>
      <c r="F8" s="354">
        <v>6959.1958000000013</v>
      </c>
      <c r="G8" s="354">
        <v>5622668</v>
      </c>
      <c r="H8" s="354">
        <v>165666.94257674998</v>
      </c>
      <c r="I8" s="354">
        <v>15.913102397999996</v>
      </c>
      <c r="J8" s="354">
        <v>2715917</v>
      </c>
      <c r="K8" s="354">
        <v>156567.58387310008</v>
      </c>
      <c r="L8" s="354">
        <v>89080.167730953006</v>
      </c>
      <c r="M8" s="354">
        <v>17609699</v>
      </c>
      <c r="N8" s="354">
        <v>293303.40350149997</v>
      </c>
      <c r="O8" s="354">
        <v>26160447</v>
      </c>
      <c r="P8" s="354">
        <v>626793.57919634995</v>
      </c>
      <c r="Q8" s="354">
        <v>366531</v>
      </c>
      <c r="R8" s="354">
        <v>14973.5672381</v>
      </c>
    </row>
    <row r="9" spans="1:18" ht="15" x14ac:dyDescent="0.25">
      <c r="A9" s="727" t="s">
        <v>720</v>
      </c>
      <c r="B9" s="727"/>
      <c r="C9" s="727"/>
      <c r="D9" s="727"/>
      <c r="E9" s="727"/>
      <c r="F9" s="727"/>
      <c r="G9" s="727"/>
      <c r="H9" s="727"/>
      <c r="I9" s="727"/>
      <c r="J9" s="727"/>
      <c r="K9" s="727"/>
      <c r="L9" s="727"/>
      <c r="M9" s="727"/>
      <c r="N9" s="727"/>
      <c r="O9" s="727"/>
      <c r="P9" s="727"/>
      <c r="Q9" s="727"/>
      <c r="R9" s="727"/>
    </row>
    <row r="10" spans="1:18" ht="24" customHeight="1" x14ac:dyDescent="0.2">
      <c r="A10" s="728" t="s">
        <v>721</v>
      </c>
      <c r="B10" s="728" t="s">
        <v>711</v>
      </c>
      <c r="C10" s="729" t="s">
        <v>712</v>
      </c>
      <c r="D10" s="729"/>
      <c r="E10" s="729"/>
      <c r="F10" s="729"/>
      <c r="G10" s="729" t="s">
        <v>713</v>
      </c>
      <c r="H10" s="729"/>
      <c r="I10" s="729"/>
      <c r="J10" s="729"/>
      <c r="K10" s="729" t="s">
        <v>714</v>
      </c>
      <c r="L10" s="729"/>
      <c r="M10" s="729"/>
      <c r="N10" s="729"/>
      <c r="O10" s="729" t="s">
        <v>64</v>
      </c>
      <c r="P10" s="729"/>
      <c r="Q10" s="729" t="s">
        <v>715</v>
      </c>
      <c r="R10" s="729"/>
    </row>
    <row r="11" spans="1:18" ht="12.75" customHeight="1" x14ac:dyDescent="0.2">
      <c r="A11" s="728"/>
      <c r="B11" s="728"/>
      <c r="C11" s="726" t="s">
        <v>722</v>
      </c>
      <c r="D11" s="726"/>
      <c r="E11" s="726" t="s">
        <v>723</v>
      </c>
      <c r="F11" s="726"/>
      <c r="G11" s="726" t="s">
        <v>722</v>
      </c>
      <c r="H11" s="726"/>
      <c r="I11" s="726" t="s">
        <v>723</v>
      </c>
      <c r="J11" s="726"/>
      <c r="K11" s="726" t="s">
        <v>722</v>
      </c>
      <c r="L11" s="726"/>
      <c r="M11" s="726" t="s">
        <v>723</v>
      </c>
      <c r="N11" s="726"/>
      <c r="O11" s="730" t="s">
        <v>719</v>
      </c>
      <c r="P11" s="732" t="s">
        <v>1015</v>
      </c>
      <c r="Q11" s="730" t="s">
        <v>719</v>
      </c>
      <c r="R11" s="730" t="s">
        <v>1016</v>
      </c>
    </row>
    <row r="12" spans="1:18" ht="30" x14ac:dyDescent="0.2">
      <c r="A12" s="728"/>
      <c r="B12" s="728"/>
      <c r="C12" s="356" t="s">
        <v>719</v>
      </c>
      <c r="D12" s="349" t="s">
        <v>1013</v>
      </c>
      <c r="E12" s="356" t="s">
        <v>719</v>
      </c>
      <c r="F12" s="349" t="s">
        <v>1013</v>
      </c>
      <c r="G12" s="356" t="s">
        <v>719</v>
      </c>
      <c r="H12" s="349" t="s">
        <v>1013</v>
      </c>
      <c r="I12" s="356" t="s">
        <v>719</v>
      </c>
      <c r="J12" s="349" t="s">
        <v>1013</v>
      </c>
      <c r="K12" s="356" t="s">
        <v>719</v>
      </c>
      <c r="L12" s="349" t="s">
        <v>1013</v>
      </c>
      <c r="M12" s="356" t="s">
        <v>719</v>
      </c>
      <c r="N12" s="349" t="s">
        <v>1013</v>
      </c>
      <c r="O12" s="731"/>
      <c r="P12" s="733"/>
      <c r="Q12" s="731"/>
      <c r="R12" s="731"/>
    </row>
    <row r="13" spans="1:18" ht="15" x14ac:dyDescent="0.25">
      <c r="A13" s="351" t="s">
        <v>5</v>
      </c>
      <c r="B13" s="352">
        <v>257</v>
      </c>
      <c r="C13" s="352">
        <v>69152</v>
      </c>
      <c r="D13" s="352">
        <v>3701.0512629999998</v>
      </c>
      <c r="E13" s="352">
        <v>54509</v>
      </c>
      <c r="F13" s="352">
        <v>2791.6585439999999</v>
      </c>
      <c r="G13" s="352">
        <v>265487</v>
      </c>
      <c r="H13" s="352">
        <v>75209.556406000018</v>
      </c>
      <c r="I13" s="352">
        <v>207148</v>
      </c>
      <c r="J13" s="352">
        <v>60490.499556499999</v>
      </c>
      <c r="K13" s="352">
        <v>480193</v>
      </c>
      <c r="L13" s="352">
        <v>20896.828280000002</v>
      </c>
      <c r="M13" s="352">
        <v>418758</v>
      </c>
      <c r="N13" s="352">
        <v>17854.905913999999</v>
      </c>
      <c r="O13" s="352">
        <v>1495517</v>
      </c>
      <c r="P13" s="352">
        <v>180944.49896349999</v>
      </c>
      <c r="Q13" s="352">
        <v>9471</v>
      </c>
      <c r="R13" s="352">
        <v>802.06000000000006</v>
      </c>
    </row>
    <row r="14" spans="1:18" ht="15" x14ac:dyDescent="0.25">
      <c r="A14" s="351" t="s">
        <v>6</v>
      </c>
      <c r="B14" s="352">
        <f>SUM(B15:B16)</f>
        <v>43</v>
      </c>
      <c r="C14" s="352">
        <f t="shared" ref="C14:N14" si="2">SUM(C15:C16)</f>
        <v>8947</v>
      </c>
      <c r="D14" s="352">
        <f t="shared" si="2"/>
        <v>595.216767</v>
      </c>
      <c r="E14" s="352">
        <f t="shared" si="2"/>
        <v>7689</v>
      </c>
      <c r="F14" s="352">
        <f t="shared" si="2"/>
        <v>563.40542800000003</v>
      </c>
      <c r="G14" s="352">
        <f t="shared" si="2"/>
        <v>30652</v>
      </c>
      <c r="H14" s="352">
        <f t="shared" si="2"/>
        <v>7572.6051344999996</v>
      </c>
      <c r="I14" s="352">
        <f t="shared" si="2"/>
        <v>20256</v>
      </c>
      <c r="J14" s="352">
        <f t="shared" si="2"/>
        <v>5477.1611505000001</v>
      </c>
      <c r="K14" s="352">
        <f t="shared" si="2"/>
        <v>129612</v>
      </c>
      <c r="L14" s="352">
        <f t="shared" si="2"/>
        <v>5796.5229209999998</v>
      </c>
      <c r="M14" s="352">
        <f t="shared" si="2"/>
        <v>128680</v>
      </c>
      <c r="N14" s="352">
        <f t="shared" si="2"/>
        <v>5542.1810779999996</v>
      </c>
      <c r="O14" s="352">
        <f>SUM(O15:O16)</f>
        <v>325836</v>
      </c>
      <c r="P14" s="352">
        <f t="shared" ref="P14" si="3">SUM(P15:P16)</f>
        <v>25547.102479000001</v>
      </c>
      <c r="Q14" s="352">
        <f>Q16</f>
        <v>13122</v>
      </c>
      <c r="R14" s="352">
        <f>R16</f>
        <v>978.21146649999991</v>
      </c>
    </row>
    <row r="15" spans="1:18" ht="15" x14ac:dyDescent="0.25">
      <c r="A15" s="353">
        <v>43556</v>
      </c>
      <c r="B15" s="354">
        <v>20</v>
      </c>
      <c r="C15" s="354">
        <v>4633</v>
      </c>
      <c r="D15" s="354">
        <v>324.85000000000002</v>
      </c>
      <c r="E15" s="354">
        <v>5480</v>
      </c>
      <c r="F15" s="354">
        <v>417.91999999999996</v>
      </c>
      <c r="G15" s="354">
        <v>11545</v>
      </c>
      <c r="H15" s="354">
        <v>2283.17</v>
      </c>
      <c r="I15" s="354">
        <v>6547</v>
      </c>
      <c r="J15" s="354">
        <v>1510.86</v>
      </c>
      <c r="K15" s="354">
        <v>42154</v>
      </c>
      <c r="L15" s="354">
        <v>1919.28</v>
      </c>
      <c r="M15" s="354">
        <v>51136</v>
      </c>
      <c r="N15" s="354">
        <v>2229.16</v>
      </c>
      <c r="O15" s="354">
        <v>121495</v>
      </c>
      <c r="P15" s="354">
        <v>8685.25</v>
      </c>
      <c r="Q15" s="354">
        <v>6962</v>
      </c>
      <c r="R15" s="354">
        <v>907.8</v>
      </c>
    </row>
    <row r="16" spans="1:18" ht="15" x14ac:dyDescent="0.25">
      <c r="A16" s="353">
        <v>43587</v>
      </c>
      <c r="B16" s="354">
        <v>23</v>
      </c>
      <c r="C16" s="354">
        <v>4314</v>
      </c>
      <c r="D16" s="354">
        <v>270.36676699999998</v>
      </c>
      <c r="E16" s="354">
        <v>2209</v>
      </c>
      <c r="F16" s="354">
        <v>145.48542800000001</v>
      </c>
      <c r="G16" s="354">
        <v>19107</v>
      </c>
      <c r="H16" s="354">
        <v>5289.4351344999995</v>
      </c>
      <c r="I16" s="354">
        <v>13709</v>
      </c>
      <c r="J16" s="354">
        <v>3966.3011504999999</v>
      </c>
      <c r="K16" s="354">
        <v>87458</v>
      </c>
      <c r="L16" s="354">
        <v>3877.242921</v>
      </c>
      <c r="M16" s="354">
        <v>77544</v>
      </c>
      <c r="N16" s="354">
        <v>3313.0210780000002</v>
      </c>
      <c r="O16" s="354">
        <v>204341</v>
      </c>
      <c r="P16" s="354">
        <v>16861.852479000001</v>
      </c>
      <c r="Q16" s="354">
        <v>13122</v>
      </c>
      <c r="R16" s="354">
        <v>978.21146649999991</v>
      </c>
    </row>
    <row r="17" spans="1:16" x14ac:dyDescent="0.2">
      <c r="A17" s="257" t="str">
        <f>'[1]1'!A8</f>
        <v>$ indicates as on May 31, 2019</v>
      </c>
      <c r="B17" s="257"/>
      <c r="C17" s="257"/>
      <c r="D17" s="257"/>
      <c r="E17" s="257"/>
      <c r="F17" s="257"/>
      <c r="G17" s="257"/>
      <c r="H17" s="257"/>
      <c r="I17" s="257"/>
      <c r="J17" s="257"/>
    </row>
    <row r="18" spans="1:16" x14ac:dyDescent="0.2">
      <c r="A18" s="257" t="s">
        <v>724</v>
      </c>
      <c r="B18" s="257"/>
      <c r="C18" s="257"/>
      <c r="D18" s="257"/>
      <c r="E18" s="257"/>
      <c r="F18" s="257"/>
      <c r="G18" s="257"/>
      <c r="H18" s="257"/>
      <c r="I18" s="357"/>
      <c r="J18" s="358"/>
      <c r="K18" s="78"/>
      <c r="L18" s="78"/>
      <c r="M18" s="78"/>
      <c r="N18" s="78"/>
      <c r="O18" s="79"/>
      <c r="P18" s="78"/>
    </row>
    <row r="19" spans="1:16" x14ac:dyDescent="0.2">
      <c r="A19" s="725" t="s">
        <v>725</v>
      </c>
      <c r="B19" s="725"/>
      <c r="C19" s="725"/>
      <c r="D19" s="725"/>
      <c r="E19" s="725"/>
      <c r="F19" s="725"/>
      <c r="G19" s="725"/>
      <c r="H19" s="725"/>
      <c r="I19" s="725"/>
      <c r="J19" s="725"/>
      <c r="L19" s="78"/>
      <c r="N19" s="80"/>
      <c r="O19" s="80"/>
      <c r="P19" s="80"/>
    </row>
    <row r="24" spans="1:16" x14ac:dyDescent="0.2">
      <c r="B24" s="71" t="s">
        <v>726</v>
      </c>
    </row>
    <row r="25" spans="1:16" x14ac:dyDescent="0.2">
      <c r="B25" s="68" t="s">
        <v>727</v>
      </c>
      <c r="D25" s="68" t="s">
        <v>728</v>
      </c>
      <c r="E25" s="68" t="s">
        <v>729</v>
      </c>
      <c r="F25" s="68" t="s">
        <v>64</v>
      </c>
      <c r="H25" s="68" t="s">
        <v>730</v>
      </c>
      <c r="I25" s="68" t="s">
        <v>731</v>
      </c>
      <c r="J25" s="68" t="s">
        <v>732</v>
      </c>
      <c r="K25" s="68" t="s">
        <v>733</v>
      </c>
    </row>
    <row r="26" spans="1:16" x14ac:dyDescent="0.2">
      <c r="D26" s="78"/>
    </row>
    <row r="27" spans="1:16" x14ac:dyDescent="0.2">
      <c r="B27" s="68" t="s">
        <v>734</v>
      </c>
      <c r="C27" s="81"/>
      <c r="D27" s="81">
        <f>E6+'68'!E6+'69'!E5+'68'!I6+'68'!K6</f>
        <v>118908.69098419996</v>
      </c>
      <c r="E27" s="78">
        <f>P14+H6+K6+N6+'69'!K5+'69'!H5+'70'!P4+'71'!E4</f>
        <v>1202161.7082635502</v>
      </c>
      <c r="F27" s="82">
        <f>D27+E27</f>
        <v>1321070.3992477502</v>
      </c>
      <c r="H27" s="78">
        <f>P6+'68'!E6+'69'!M5+'70'!P4+'71'!E4</f>
        <v>1295520.9967687503</v>
      </c>
      <c r="I27" s="78">
        <f>P14+'68'!I6+'68'!K6</f>
        <v>25549.412479000002</v>
      </c>
      <c r="J27" s="83">
        <f>H27+I27</f>
        <v>1321070.4092477502</v>
      </c>
      <c r="K27" s="81" t="b">
        <f>F27=J27</f>
        <v>0</v>
      </c>
      <c r="M27" s="84">
        <f>'73'!D27+'73'!D39+'74'!D21+'74'!D28+'75'!D16+'75'!D26+'75'!D37+0.51</f>
        <v>1296455.9691777504</v>
      </c>
    </row>
    <row r="28" spans="1:16" x14ac:dyDescent="0.2">
      <c r="B28" s="76">
        <v>43191</v>
      </c>
      <c r="C28" s="81"/>
      <c r="D28" s="81">
        <f>E8+'68'!E8+'69'!E7+'68'!I8+'68'!K8</f>
        <v>60086.145874999966</v>
      </c>
      <c r="E28" s="78">
        <f>P16+H8+K8+N8+'69'!K7</f>
        <v>636131.48243035004</v>
      </c>
      <c r="F28" s="81">
        <f>D28+E28</f>
        <v>696217.62830534996</v>
      </c>
      <c r="H28" s="78">
        <f>P8+'68'!E8+'69'!M7</f>
        <v>679999.83582634991</v>
      </c>
      <c r="I28" s="78">
        <f>P16+'68'!I8+'68'!K8</f>
        <v>16863.382479</v>
      </c>
      <c r="J28" s="78">
        <f>H28+I28</f>
        <v>696863.21830534993</v>
      </c>
      <c r="K28" s="81" t="b">
        <f t="shared" ref="K28:K35" si="4">F28=J28</f>
        <v>0</v>
      </c>
    </row>
    <row r="29" spans="1:16" x14ac:dyDescent="0.2">
      <c r="B29" s="76">
        <v>43221</v>
      </c>
      <c r="C29" s="81"/>
      <c r="D29" s="81" t="e">
        <f>#REF!+'68'!#REF!+'69'!#REF!+'68'!#REF!+'68'!#REF!</f>
        <v>#REF!</v>
      </c>
      <c r="E29" s="78" t="e">
        <f>#REF!+#REF!+#REF!+#REF!+'69'!#REF!</f>
        <v>#REF!</v>
      </c>
      <c r="F29" s="81" t="e">
        <f t="shared" ref="F29:F35" si="5">D29+E29</f>
        <v>#REF!</v>
      </c>
      <c r="H29" s="78" t="e">
        <f>#REF!+'68'!#REF!+'69'!#REF!</f>
        <v>#REF!</v>
      </c>
      <c r="I29" s="78" t="e">
        <f>#REF!+'68'!#REF!+'68'!#REF!</f>
        <v>#REF!</v>
      </c>
      <c r="J29" s="78" t="e">
        <f t="shared" ref="J29:J35" si="6">H29+I29</f>
        <v>#REF!</v>
      </c>
      <c r="K29" s="81" t="e">
        <f t="shared" si="4"/>
        <v>#REF!</v>
      </c>
    </row>
    <row r="30" spans="1:16" x14ac:dyDescent="0.2">
      <c r="B30" s="76">
        <v>43252</v>
      </c>
      <c r="C30" s="81"/>
      <c r="D30" s="81" t="e">
        <f>#REF!+'68'!#REF!+'69'!#REF!+'68'!#REF!+'68'!#REF!</f>
        <v>#REF!</v>
      </c>
      <c r="E30" s="78" t="e">
        <f>#REF!+#REF!+#REF!+#REF!+'69'!#REF!</f>
        <v>#REF!</v>
      </c>
      <c r="F30" s="81" t="e">
        <f t="shared" si="5"/>
        <v>#REF!</v>
      </c>
      <c r="H30" s="78" t="e">
        <f>#REF!+'68'!#REF!+'69'!#REF!</f>
        <v>#REF!</v>
      </c>
      <c r="I30" s="78" t="e">
        <f>#REF!+'68'!#REF!+'68'!#REF!</f>
        <v>#REF!</v>
      </c>
      <c r="J30" s="78" t="e">
        <f t="shared" si="6"/>
        <v>#REF!</v>
      </c>
      <c r="K30" s="81" t="e">
        <f t="shared" si="4"/>
        <v>#REF!</v>
      </c>
    </row>
    <row r="31" spans="1:16" x14ac:dyDescent="0.2">
      <c r="B31" s="76">
        <v>43282</v>
      </c>
      <c r="C31" s="81"/>
      <c r="D31" s="81" t="e">
        <f>#REF!+'68'!#REF!+'69'!#REF!+'68'!#REF!+'68'!#REF!</f>
        <v>#REF!</v>
      </c>
      <c r="E31" s="78" t="e">
        <f>#REF!+#REF!+#REF!+#REF!+'69'!#REF!</f>
        <v>#REF!</v>
      </c>
      <c r="F31" s="81" t="e">
        <f t="shared" si="5"/>
        <v>#REF!</v>
      </c>
      <c r="H31" s="78" t="e">
        <f>#REF!+'68'!#REF!+'69'!#REF!</f>
        <v>#REF!</v>
      </c>
      <c r="I31" s="78" t="e">
        <f>#REF!+'68'!#REF!+'68'!#REF!</f>
        <v>#REF!</v>
      </c>
      <c r="J31" s="78" t="e">
        <f t="shared" si="6"/>
        <v>#REF!</v>
      </c>
      <c r="K31" s="81" t="e">
        <f t="shared" si="4"/>
        <v>#REF!</v>
      </c>
    </row>
    <row r="32" spans="1:16" x14ac:dyDescent="0.2">
      <c r="B32" s="76">
        <v>43313</v>
      </c>
      <c r="C32" s="81"/>
      <c r="D32" s="81" t="e">
        <f>#REF!+'68'!#REF!+'69'!#REF!+'68'!#REF!+'68'!#REF!</f>
        <v>#REF!</v>
      </c>
      <c r="E32" s="78" t="e">
        <f>#REF!+#REF!+#REF!+#REF!+'69'!#REF!+'69'!#REF!</f>
        <v>#REF!</v>
      </c>
      <c r="F32" s="81" t="e">
        <f t="shared" si="5"/>
        <v>#REF!</v>
      </c>
      <c r="H32" s="78" t="e">
        <f>#REF!+'68'!#REF!+'69'!#REF!</f>
        <v>#REF!</v>
      </c>
      <c r="I32" s="78" t="e">
        <f>#REF!+'68'!#REF!+'68'!#REF!</f>
        <v>#REF!</v>
      </c>
      <c r="J32" s="78" t="e">
        <f t="shared" si="6"/>
        <v>#REF!</v>
      </c>
      <c r="K32" s="81" t="e">
        <f t="shared" si="4"/>
        <v>#REF!</v>
      </c>
    </row>
    <row r="33" spans="2:11" x14ac:dyDescent="0.2">
      <c r="B33" s="76">
        <v>43344</v>
      </c>
      <c r="C33" s="81"/>
      <c r="D33" s="81" t="e">
        <f>#REF!+'68'!#REF!+'69'!#REF!+'68'!#REF!+'68'!#REF!</f>
        <v>#REF!</v>
      </c>
      <c r="E33" s="78" t="e">
        <f>#REF!+#REF!+#REF!+#REF!+'69'!#REF!+'69'!#REF!+'70'!P4+'71'!E4</f>
        <v>#REF!</v>
      </c>
      <c r="F33" s="81" t="e">
        <f t="shared" si="5"/>
        <v>#REF!</v>
      </c>
      <c r="H33" s="78" t="e">
        <f>#REF!+'68'!#REF!+'69'!#REF!+'70'!P4+'71'!E4</f>
        <v>#REF!</v>
      </c>
      <c r="I33" s="78" t="e">
        <f>#REF!+'68'!#REF!+'68'!#REF!</f>
        <v>#REF!</v>
      </c>
      <c r="J33" s="78" t="e">
        <f t="shared" si="6"/>
        <v>#REF!</v>
      </c>
      <c r="K33" s="81" t="e">
        <f t="shared" si="4"/>
        <v>#REF!</v>
      </c>
    </row>
    <row r="34" spans="2:11" x14ac:dyDescent="0.2">
      <c r="B34" s="76">
        <v>43380</v>
      </c>
      <c r="C34" s="81"/>
      <c r="D34" s="81" t="e">
        <f>#REF!+'68'!#REF!+'69'!#REF!+'68'!#REF!+'68'!#REF!</f>
        <v>#REF!</v>
      </c>
      <c r="E34" s="78" t="e">
        <f>#REF!+#REF!+#REF!+#REF!+'69'!#REF!+'69'!#REF!+'70'!P6+'71'!E6</f>
        <v>#REF!</v>
      </c>
      <c r="F34" s="81" t="e">
        <f t="shared" si="5"/>
        <v>#REF!</v>
      </c>
      <c r="H34" s="78" t="e">
        <f>#REF!+'68'!#REF!+'69'!#REF!+'70'!P6+'71'!E6</f>
        <v>#REF!</v>
      </c>
      <c r="I34" s="78" t="e">
        <f>#REF!+'68'!#REF!+'68'!#REF!</f>
        <v>#REF!</v>
      </c>
      <c r="J34" s="78" t="e">
        <f t="shared" si="6"/>
        <v>#REF!</v>
      </c>
      <c r="K34" s="81" t="e">
        <f t="shared" si="4"/>
        <v>#REF!</v>
      </c>
    </row>
    <row r="35" spans="2:11" x14ac:dyDescent="0.2">
      <c r="B35" s="76">
        <v>43405</v>
      </c>
      <c r="C35" s="81"/>
      <c r="D35" s="81" t="e">
        <f>#REF!+'68'!#REF!+'69'!#REF!+'68'!#REF!+'68'!#REF!</f>
        <v>#REF!</v>
      </c>
      <c r="E35" s="78" t="e">
        <f>#REF!+#REF!+#REF!+#REF!+'69'!#REF!+'69'!#REF!+'70'!#REF!+'71'!#REF!</f>
        <v>#REF!</v>
      </c>
      <c r="F35" s="81" t="e">
        <f t="shared" si="5"/>
        <v>#REF!</v>
      </c>
      <c r="H35" s="78" t="e">
        <f>#REF!+'68'!#REF!+'69'!#REF!+'70'!#REF!+'71'!#REF!</f>
        <v>#REF!</v>
      </c>
      <c r="I35" s="78" t="e">
        <f>#REF!+'68'!#REF!+'68'!#REF!</f>
        <v>#REF!</v>
      </c>
      <c r="J35" s="78" t="e">
        <f t="shared" si="6"/>
        <v>#REF!</v>
      </c>
      <c r="K35" s="81" t="e">
        <f t="shared" si="4"/>
        <v>#REF!</v>
      </c>
    </row>
    <row r="36" spans="2:11" x14ac:dyDescent="0.2">
      <c r="H36" s="78"/>
      <c r="I36" s="78"/>
      <c r="J36" s="78"/>
    </row>
    <row r="38" spans="2:11" x14ac:dyDescent="0.2">
      <c r="D38" s="78"/>
    </row>
    <row r="40" spans="2:11" x14ac:dyDescent="0.2">
      <c r="D40" s="85"/>
    </row>
  </sheetData>
  <mergeCells count="31">
    <mergeCell ref="A1:H1"/>
    <mergeCell ref="I1:O1"/>
    <mergeCell ref="P1:Q1"/>
    <mergeCell ref="A2:R2"/>
    <mergeCell ref="A3:A4"/>
    <mergeCell ref="B3:B4"/>
    <mergeCell ref="C3:E3"/>
    <mergeCell ref="F3:H3"/>
    <mergeCell ref="I3:K3"/>
    <mergeCell ref="L3:N3"/>
    <mergeCell ref="O3:P3"/>
    <mergeCell ref="Q3:R3"/>
    <mergeCell ref="A9:R9"/>
    <mergeCell ref="A10:A12"/>
    <mergeCell ref="B10:B12"/>
    <mergeCell ref="C10:F10"/>
    <mergeCell ref="G10:J10"/>
    <mergeCell ref="K10:N10"/>
    <mergeCell ref="O10:P10"/>
    <mergeCell ref="Q10:R10"/>
    <mergeCell ref="O11:O12"/>
    <mergeCell ref="P11:P12"/>
    <mergeCell ref="Q11:Q12"/>
    <mergeCell ref="R11:R12"/>
    <mergeCell ref="K11:L11"/>
    <mergeCell ref="M11:N11"/>
    <mergeCell ref="A19:J19"/>
    <mergeCell ref="C11:D11"/>
    <mergeCell ref="E11:F11"/>
    <mergeCell ref="G11:H11"/>
    <mergeCell ref="I11:J11"/>
  </mergeCells>
  <pageMargins left="0.7" right="0.7" top="0.75" bottom="0.75" header="0.3" footer="0.3"/>
  <pageSetup scale="67"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view="pageBreakPreview" zoomScaleNormal="115" zoomScaleSheetLayoutView="100" workbookViewId="0">
      <selection sqref="A1:E1"/>
    </sheetView>
  </sheetViews>
  <sheetFormatPr defaultRowHeight="12.75" x14ac:dyDescent="0.2"/>
  <cols>
    <col min="1" max="1" width="9.140625" style="68" customWidth="1"/>
    <col min="2" max="2" width="7.140625" style="68" customWidth="1"/>
    <col min="3" max="3" width="11.42578125" style="68" customWidth="1"/>
    <col min="4" max="4" width="14.140625" style="68" bestFit="1" customWidth="1"/>
    <col min="5" max="5" width="10.28515625" style="68" customWidth="1"/>
    <col min="6" max="6" width="8.7109375" style="68" customWidth="1"/>
    <col min="7" max="8" width="9.140625" style="68"/>
    <col min="9" max="9" width="9.5703125" style="68" bestFit="1" customWidth="1"/>
    <col min="10" max="16384" width="9.140625" style="68"/>
  </cols>
  <sheetData>
    <row r="1" spans="1:13" ht="15" x14ac:dyDescent="0.2">
      <c r="A1" s="718" t="s">
        <v>1060</v>
      </c>
      <c r="B1" s="719"/>
      <c r="C1" s="735"/>
      <c r="D1" s="735"/>
      <c r="E1" s="735"/>
      <c r="F1" s="735"/>
      <c r="G1" s="735"/>
    </row>
    <row r="2" spans="1:13" ht="12.75" customHeight="1" x14ac:dyDescent="0.25">
      <c r="A2" s="738" t="s">
        <v>490</v>
      </c>
      <c r="B2" s="740" t="s">
        <v>711</v>
      </c>
      <c r="C2" s="749" t="s">
        <v>710</v>
      </c>
      <c r="D2" s="749"/>
      <c r="E2" s="749"/>
      <c r="F2" s="749"/>
      <c r="G2" s="749"/>
      <c r="H2" s="749" t="s">
        <v>720</v>
      </c>
      <c r="I2" s="749"/>
      <c r="J2" s="749"/>
      <c r="K2" s="749"/>
      <c r="L2" s="749"/>
      <c r="M2" s="749"/>
    </row>
    <row r="3" spans="1:13" s="75" customFormat="1" ht="34.5" customHeight="1" x14ac:dyDescent="0.2">
      <c r="A3" s="747"/>
      <c r="B3" s="740"/>
      <c r="C3" s="740" t="s">
        <v>735</v>
      </c>
      <c r="D3" s="740" t="s">
        <v>717</v>
      </c>
      <c r="E3" s="740" t="s">
        <v>1017</v>
      </c>
      <c r="F3" s="741" t="s">
        <v>715</v>
      </c>
      <c r="G3" s="742"/>
      <c r="H3" s="743" t="s">
        <v>736</v>
      </c>
      <c r="I3" s="744"/>
      <c r="J3" s="743" t="s">
        <v>737</v>
      </c>
      <c r="K3" s="744"/>
      <c r="L3" s="745" t="s">
        <v>738</v>
      </c>
      <c r="M3" s="746"/>
    </row>
    <row r="4" spans="1:13" s="75" customFormat="1" ht="41.25" customHeight="1" x14ac:dyDescent="0.2">
      <c r="A4" s="748"/>
      <c r="B4" s="740"/>
      <c r="C4" s="740"/>
      <c r="D4" s="740"/>
      <c r="E4" s="740"/>
      <c r="F4" s="359" t="s">
        <v>413</v>
      </c>
      <c r="G4" s="359" t="s">
        <v>1014</v>
      </c>
      <c r="H4" s="356" t="s">
        <v>719</v>
      </c>
      <c r="I4" s="359" t="s">
        <v>1013</v>
      </c>
      <c r="J4" s="356" t="s">
        <v>719</v>
      </c>
      <c r="K4" s="359" t="s">
        <v>1017</v>
      </c>
      <c r="L4" s="360" t="s">
        <v>719</v>
      </c>
      <c r="M4" s="360" t="s">
        <v>1018</v>
      </c>
    </row>
    <row r="5" spans="1:13" s="71" customFormat="1" ht="15" x14ac:dyDescent="0.25">
      <c r="A5" s="361" t="s">
        <v>5</v>
      </c>
      <c r="B5" s="362">
        <v>248</v>
      </c>
      <c r="C5" s="362">
        <v>120124.91900000004</v>
      </c>
      <c r="D5" s="362">
        <v>14005485</v>
      </c>
      <c r="E5" s="362">
        <v>531414.09615000011</v>
      </c>
      <c r="F5" s="352">
        <v>128338.5</v>
      </c>
      <c r="G5" s="352">
        <v>5328.3399999999992</v>
      </c>
      <c r="H5" s="352">
        <v>3646</v>
      </c>
      <c r="I5" s="363">
        <v>159.9</v>
      </c>
      <c r="J5" s="363">
        <v>328</v>
      </c>
      <c r="K5" s="363">
        <v>13.959999999999999</v>
      </c>
      <c r="L5" s="363">
        <v>6</v>
      </c>
      <c r="M5" s="364">
        <v>0.27</v>
      </c>
    </row>
    <row r="6" spans="1:13" s="71" customFormat="1" ht="15" x14ac:dyDescent="0.2">
      <c r="A6" s="361" t="s">
        <v>6</v>
      </c>
      <c r="B6" s="362">
        <f>SUM(B7:B8)</f>
        <v>41</v>
      </c>
      <c r="C6" s="362">
        <f t="shared" ref="C6:E6" si="0">SUM(C7:C8)</f>
        <v>19874.118999999999</v>
      </c>
      <c r="D6" s="362">
        <f t="shared" si="0"/>
        <v>2553391</v>
      </c>
      <c r="E6" s="362">
        <f t="shared" si="0"/>
        <v>96179.441254999954</v>
      </c>
      <c r="F6" s="352">
        <f>F8</f>
        <v>138883.5</v>
      </c>
      <c r="G6" s="352">
        <f>G8</f>
        <v>6387.3300000000008</v>
      </c>
      <c r="H6" s="352">
        <f>SUM(H7:H8)</f>
        <v>51</v>
      </c>
      <c r="I6" s="365">
        <f t="shared" ref="I6:K6" si="1">SUM(I7:I8)</f>
        <v>2.31</v>
      </c>
      <c r="J6" s="352">
        <f t="shared" si="1"/>
        <v>0</v>
      </c>
      <c r="K6" s="352">
        <f t="shared" si="1"/>
        <v>0</v>
      </c>
      <c r="L6" s="352">
        <f>L8</f>
        <v>0</v>
      </c>
      <c r="M6" s="366">
        <f>M8</f>
        <v>0</v>
      </c>
    </row>
    <row r="7" spans="1:13" s="71" customFormat="1" ht="15" x14ac:dyDescent="0.25">
      <c r="A7" s="353">
        <v>43556</v>
      </c>
      <c r="B7" s="355">
        <v>19</v>
      </c>
      <c r="C7" s="355">
        <v>9826.4570000000003</v>
      </c>
      <c r="D7" s="355">
        <v>1294409</v>
      </c>
      <c r="E7" s="355">
        <v>47775.984624999983</v>
      </c>
      <c r="F7" s="367">
        <v>135463</v>
      </c>
      <c r="G7" s="367">
        <v>5988.3100000000013</v>
      </c>
      <c r="H7" s="367">
        <v>17</v>
      </c>
      <c r="I7" s="368">
        <v>0.78</v>
      </c>
      <c r="J7" s="367">
        <v>0</v>
      </c>
      <c r="K7" s="368">
        <v>0</v>
      </c>
      <c r="L7" s="367">
        <v>6</v>
      </c>
      <c r="M7" s="369">
        <v>0.27</v>
      </c>
    </row>
    <row r="8" spans="1:13" ht="15" x14ac:dyDescent="0.25">
      <c r="A8" s="353">
        <v>43587</v>
      </c>
      <c r="B8" s="355">
        <v>22</v>
      </c>
      <c r="C8" s="355">
        <v>10047.661999999998</v>
      </c>
      <c r="D8" s="355">
        <v>1258982</v>
      </c>
      <c r="E8" s="355">
        <v>48403.456629999964</v>
      </c>
      <c r="F8" s="367">
        <v>138883.5</v>
      </c>
      <c r="G8" s="367">
        <v>6387.3300000000008</v>
      </c>
      <c r="H8" s="367">
        <v>34</v>
      </c>
      <c r="I8" s="368">
        <v>1.53</v>
      </c>
      <c r="J8" s="367">
        <v>0</v>
      </c>
      <c r="K8" s="368">
        <v>0</v>
      </c>
      <c r="L8" s="367">
        <v>0</v>
      </c>
      <c r="M8" s="369">
        <v>0</v>
      </c>
    </row>
    <row r="9" spans="1:13" x14ac:dyDescent="0.2">
      <c r="A9" s="257" t="str">
        <f>'[1]1'!A8</f>
        <v>$ indicates as on May 31, 2019</v>
      </c>
      <c r="B9" s="256"/>
      <c r="C9" s="256"/>
      <c r="D9" s="259"/>
      <c r="E9" s="260"/>
      <c r="F9" s="260"/>
      <c r="G9" s="260"/>
      <c r="H9" s="254"/>
      <c r="I9" s="261"/>
      <c r="J9" s="262"/>
      <c r="K9" s="254"/>
      <c r="L9" s="254"/>
      <c r="M9" s="254"/>
    </row>
    <row r="10" spans="1:13" x14ac:dyDescent="0.2">
      <c r="A10" s="263" t="s">
        <v>739</v>
      </c>
      <c r="B10" s="257"/>
      <c r="C10" s="257"/>
      <c r="D10" s="254"/>
      <c r="E10" s="254"/>
      <c r="F10" s="264"/>
      <c r="G10" s="258"/>
      <c r="H10" s="265"/>
      <c r="I10" s="266"/>
      <c r="J10" s="267"/>
      <c r="K10" s="254"/>
      <c r="L10" s="254"/>
      <c r="M10" s="254"/>
    </row>
    <row r="11" spans="1:13" ht="15" x14ac:dyDescent="0.25">
      <c r="A11" s="86"/>
      <c r="B11" s="86"/>
      <c r="C11" s="86"/>
      <c r="D11" s="87"/>
      <c r="E11" s="87"/>
      <c r="F11" s="87"/>
      <c r="G11" s="87"/>
      <c r="H11" s="87"/>
      <c r="I11" s="87"/>
      <c r="J11" s="87"/>
    </row>
  </sheetData>
  <mergeCells count="13">
    <mergeCell ref="H3:I3"/>
    <mergeCell ref="J3:K3"/>
    <mergeCell ref="L3:M3"/>
    <mergeCell ref="A1:E1"/>
    <mergeCell ref="F1:G1"/>
    <mergeCell ref="A2:A4"/>
    <mergeCell ref="B2:B4"/>
    <mergeCell ref="C2:G2"/>
    <mergeCell ref="H2:M2"/>
    <mergeCell ref="C3:C4"/>
    <mergeCell ref="D3:D4"/>
    <mergeCell ref="E3:E4"/>
    <mergeCell ref="F3:G3"/>
  </mergeCells>
  <pageMargins left="0.7" right="0.7" top="0.75" bottom="0.75" header="0.3" footer="0.3"/>
  <pageSetup scale="9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view="pageBreakPreview" zoomScaleNormal="100" zoomScaleSheetLayoutView="100" workbookViewId="0"/>
  </sheetViews>
  <sheetFormatPr defaultRowHeight="15" x14ac:dyDescent="0.25"/>
  <cols>
    <col min="1" max="2" width="9.140625" style="87"/>
    <col min="3" max="3" width="10.5703125" style="87" bestFit="1" customWidth="1"/>
    <col min="4" max="4" width="9.28515625" style="87" bestFit="1" customWidth="1"/>
    <col min="5" max="5" width="9.140625" style="87"/>
    <col min="6" max="6" width="9.85546875" style="87" customWidth="1"/>
    <col min="7" max="7" width="9.85546875" style="87" bestFit="1" customWidth="1"/>
    <col min="8" max="8" width="9.28515625" style="87" bestFit="1" customWidth="1"/>
    <col min="9" max="9" width="13.28515625" style="87" customWidth="1"/>
    <col min="10" max="10" width="13.42578125" style="87" customWidth="1"/>
    <col min="11" max="11" width="9.140625" style="87"/>
    <col min="12" max="12" width="11.7109375" style="87" bestFit="1" customWidth="1"/>
    <col min="13" max="13" width="11.85546875" style="87" bestFit="1" customWidth="1"/>
    <col min="14" max="16384" width="9.140625" style="87"/>
  </cols>
  <sheetData>
    <row r="1" spans="1:15" ht="15" customHeight="1" x14ac:dyDescent="0.25">
      <c r="A1" s="133" t="s">
        <v>1059</v>
      </c>
      <c r="B1" s="88"/>
      <c r="F1" s="86"/>
      <c r="G1" s="86"/>
      <c r="I1" s="88"/>
      <c r="J1" s="89"/>
      <c r="K1" s="61"/>
    </row>
    <row r="2" spans="1:15" ht="41.25" customHeight="1" x14ac:dyDescent="0.25">
      <c r="A2" s="732" t="s">
        <v>490</v>
      </c>
      <c r="B2" s="732" t="s">
        <v>711</v>
      </c>
      <c r="C2" s="741" t="s">
        <v>740</v>
      </c>
      <c r="D2" s="751"/>
      <c r="E2" s="742"/>
      <c r="F2" s="740" t="s">
        <v>741</v>
      </c>
      <c r="G2" s="740"/>
      <c r="H2" s="740"/>
      <c r="I2" s="740" t="s">
        <v>742</v>
      </c>
      <c r="J2" s="740"/>
      <c r="K2" s="740"/>
      <c r="L2" s="741" t="s">
        <v>743</v>
      </c>
      <c r="M2" s="742"/>
      <c r="N2" s="741" t="s">
        <v>715</v>
      </c>
      <c r="O2" s="742"/>
    </row>
    <row r="3" spans="1:15" ht="41.25" customHeight="1" x14ac:dyDescent="0.25">
      <c r="A3" s="733"/>
      <c r="B3" s="733"/>
      <c r="C3" s="350" t="s">
        <v>744</v>
      </c>
      <c r="D3" s="350" t="s">
        <v>717</v>
      </c>
      <c r="E3" s="350" t="s">
        <v>1017</v>
      </c>
      <c r="F3" s="350" t="s">
        <v>735</v>
      </c>
      <c r="G3" s="350" t="s">
        <v>717</v>
      </c>
      <c r="H3" s="350" t="s">
        <v>1017</v>
      </c>
      <c r="I3" s="350" t="s">
        <v>745</v>
      </c>
      <c r="J3" s="350" t="s">
        <v>717</v>
      </c>
      <c r="K3" s="359" t="s">
        <v>1017</v>
      </c>
      <c r="L3" s="350" t="s">
        <v>717</v>
      </c>
      <c r="M3" s="350" t="s">
        <v>1017</v>
      </c>
      <c r="N3" s="350" t="s">
        <v>746</v>
      </c>
      <c r="O3" s="350" t="s">
        <v>1014</v>
      </c>
    </row>
    <row r="4" spans="1:15" x14ac:dyDescent="0.25">
      <c r="A4" s="361" t="s">
        <v>5</v>
      </c>
      <c r="B4" s="370">
        <v>257</v>
      </c>
      <c r="C4" s="370">
        <v>3195.8932</v>
      </c>
      <c r="D4" s="370">
        <v>683893</v>
      </c>
      <c r="E4" s="370">
        <v>14772.164009300001</v>
      </c>
      <c r="F4" s="370">
        <v>1155.8499999999999</v>
      </c>
      <c r="G4" s="370">
        <v>115585</v>
      </c>
      <c r="H4" s="370">
        <v>4062.66</v>
      </c>
      <c r="I4" s="370">
        <v>55312169</v>
      </c>
      <c r="J4" s="370">
        <v>55312169</v>
      </c>
      <c r="K4" s="370">
        <v>18901.566963199999</v>
      </c>
      <c r="L4" s="370">
        <v>56111647</v>
      </c>
      <c r="M4" s="370">
        <v>37735.500702500001</v>
      </c>
      <c r="N4" s="370">
        <v>129291</v>
      </c>
      <c r="O4" s="370">
        <v>77</v>
      </c>
    </row>
    <row r="5" spans="1:15" x14ac:dyDescent="0.25">
      <c r="A5" s="361" t="s">
        <v>6</v>
      </c>
      <c r="B5" s="370">
        <f>SUM(B6:B7)</f>
        <v>43</v>
      </c>
      <c r="C5" s="370">
        <f t="shared" ref="C5:M5" si="0">SUM(C6:C7)</f>
        <v>120.13</v>
      </c>
      <c r="D5" s="370">
        <f t="shared" si="0"/>
        <v>47800</v>
      </c>
      <c r="E5" s="370">
        <f t="shared" si="0"/>
        <v>665.56999999999994</v>
      </c>
      <c r="F5" s="370">
        <f t="shared" si="0"/>
        <v>348.65999999999997</v>
      </c>
      <c r="G5" s="370">
        <f t="shared" si="0"/>
        <v>34866</v>
      </c>
      <c r="H5" s="370">
        <f t="shared" si="0"/>
        <v>1181.97</v>
      </c>
      <c r="I5" s="370">
        <f t="shared" si="0"/>
        <v>21476099</v>
      </c>
      <c r="J5" s="370">
        <f t="shared" si="0"/>
        <v>21476099</v>
      </c>
      <c r="K5" s="370">
        <f t="shared" si="0"/>
        <v>7409.0599999999995</v>
      </c>
      <c r="L5" s="370">
        <f t="shared" si="0"/>
        <v>21558765</v>
      </c>
      <c r="M5" s="370">
        <f t="shared" si="0"/>
        <v>9256.61</v>
      </c>
      <c r="N5" s="370">
        <f>N7</f>
        <v>85247</v>
      </c>
      <c r="O5" s="370">
        <f>O7</f>
        <v>64.7</v>
      </c>
    </row>
    <row r="6" spans="1:15" x14ac:dyDescent="0.25">
      <c r="A6" s="346">
        <v>43556</v>
      </c>
      <c r="B6" s="354">
        <v>20</v>
      </c>
      <c r="C6" s="354">
        <v>39.5</v>
      </c>
      <c r="D6" s="354">
        <v>18822</v>
      </c>
      <c r="E6" s="354">
        <v>240.06</v>
      </c>
      <c r="F6" s="354">
        <v>157.54</v>
      </c>
      <c r="G6" s="354">
        <v>15754</v>
      </c>
      <c r="H6" s="354">
        <v>536.39</v>
      </c>
      <c r="I6" s="354">
        <v>10661364</v>
      </c>
      <c r="J6" s="354">
        <v>10661364</v>
      </c>
      <c r="K6" s="371">
        <v>3677.36</v>
      </c>
      <c r="L6" s="355">
        <v>10695940</v>
      </c>
      <c r="M6" s="355">
        <v>4453.8100000000004</v>
      </c>
      <c r="N6" s="354">
        <v>172820</v>
      </c>
      <c r="O6" s="371">
        <v>80.44</v>
      </c>
    </row>
    <row r="7" spans="1:15" x14ac:dyDescent="0.25">
      <c r="A7" s="346">
        <v>43587</v>
      </c>
      <c r="B7" s="354">
        <v>23</v>
      </c>
      <c r="C7" s="354">
        <v>80.63</v>
      </c>
      <c r="D7" s="354">
        <v>28978</v>
      </c>
      <c r="E7" s="354">
        <v>425.51</v>
      </c>
      <c r="F7" s="354">
        <v>191.12</v>
      </c>
      <c r="G7" s="354">
        <v>19112</v>
      </c>
      <c r="H7" s="354">
        <v>645.58000000000004</v>
      </c>
      <c r="I7" s="354">
        <v>10814735</v>
      </c>
      <c r="J7" s="354">
        <v>10814735</v>
      </c>
      <c r="K7" s="371">
        <v>3731.7</v>
      </c>
      <c r="L7" s="355">
        <v>10862825</v>
      </c>
      <c r="M7" s="355">
        <v>4802.8</v>
      </c>
      <c r="N7" s="354">
        <v>85247</v>
      </c>
      <c r="O7" s="371">
        <v>64.7</v>
      </c>
    </row>
    <row r="8" spans="1:15" x14ac:dyDescent="0.25">
      <c r="A8" s="372" t="str">
        <f>'[1]66'!A8</f>
        <v>$ indicates as on May 31, 2019</v>
      </c>
      <c r="B8" s="373"/>
      <c r="C8" s="374"/>
      <c r="D8" s="18"/>
      <c r="E8" s="18"/>
      <c r="F8" s="268"/>
      <c r="G8" s="18"/>
      <c r="H8" s="18"/>
      <c r="I8" s="269"/>
      <c r="J8" s="18"/>
      <c r="K8" s="18"/>
      <c r="L8" s="18"/>
      <c r="M8" s="18"/>
      <c r="N8" s="18"/>
      <c r="O8" s="18"/>
    </row>
    <row r="9" spans="1:15" x14ac:dyDescent="0.25">
      <c r="A9" s="372" t="s">
        <v>1004</v>
      </c>
      <c r="B9" s="375"/>
      <c r="C9" s="374"/>
      <c r="D9" s="18"/>
      <c r="E9" s="18"/>
      <c r="F9" s="18"/>
      <c r="G9" s="18"/>
      <c r="H9" s="18"/>
      <c r="I9" s="91"/>
      <c r="J9" s="18"/>
      <c r="K9" s="18"/>
      <c r="L9" s="18"/>
      <c r="M9" s="18"/>
      <c r="N9" s="18"/>
      <c r="O9" s="18"/>
    </row>
    <row r="10" spans="1:15" x14ac:dyDescent="0.25">
      <c r="A10" s="256" t="s">
        <v>747</v>
      </c>
      <c r="B10" s="374"/>
      <c r="C10" s="374"/>
      <c r="D10" s="18"/>
      <c r="E10" s="18"/>
      <c r="F10" s="18" t="s">
        <v>704</v>
      </c>
      <c r="G10" s="18"/>
      <c r="H10" s="18" t="s">
        <v>704</v>
      </c>
      <c r="I10" s="18"/>
      <c r="J10" s="18"/>
      <c r="K10" s="18"/>
      <c r="L10" s="18"/>
      <c r="M10" s="18"/>
      <c r="N10" s="18"/>
      <c r="O10" s="18"/>
    </row>
    <row r="11" spans="1:15" ht="30" customHeight="1" x14ac:dyDescent="0.25">
      <c r="A11" s="750"/>
      <c r="B11" s="750"/>
      <c r="C11" s="750"/>
      <c r="D11" s="750"/>
      <c r="E11" s="750"/>
      <c r="F11" s="750"/>
      <c r="G11" s="750"/>
      <c r="H11" s="750"/>
      <c r="I11" s="750"/>
      <c r="J11" s="750"/>
      <c r="K11" s="750"/>
      <c r="L11" s="750"/>
      <c r="M11" s="750"/>
      <c r="N11" s="750"/>
      <c r="O11" s="750"/>
    </row>
    <row r="12" spans="1:15" ht="19.5" customHeight="1" x14ac:dyDescent="0.25">
      <c r="A12" s="73"/>
    </row>
  </sheetData>
  <mergeCells count="8">
    <mergeCell ref="N2:O2"/>
    <mergeCell ref="A11:O11"/>
    <mergeCell ref="A2:A3"/>
    <mergeCell ref="B2:B3"/>
    <mergeCell ref="C2:E2"/>
    <mergeCell ref="F2:H2"/>
    <mergeCell ref="I2:K2"/>
    <mergeCell ref="L2:M2"/>
  </mergeCells>
  <pageMargins left="0.7" right="0.7"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
  <sheetViews>
    <sheetView zoomScaleNormal="100" workbookViewId="0">
      <selection activeCell="E15" sqref="E15"/>
    </sheetView>
  </sheetViews>
  <sheetFormatPr defaultRowHeight="15" x14ac:dyDescent="0.25"/>
  <cols>
    <col min="1" max="1" width="17.7109375" style="123" customWidth="1"/>
    <col min="2" max="2" width="17" style="123" customWidth="1"/>
    <col min="3" max="3" width="18" style="123" customWidth="1"/>
    <col min="4" max="4" width="4.85546875" style="123" bestFit="1" customWidth="1"/>
    <col min="5" max="16384" width="9.140625" style="123"/>
  </cols>
  <sheetData>
    <row r="1" spans="1:3" ht="15.75" customHeight="1" x14ac:dyDescent="0.25">
      <c r="A1" s="574" t="str">
        <f>'Data Summary'!$A$8</f>
        <v>Table 6:  Issues Listed on SME Platform</v>
      </c>
      <c r="B1" s="574"/>
      <c r="C1" s="574"/>
    </row>
    <row r="2" spans="1:3" s="125" customFormat="1" ht="28.5" customHeight="1" x14ac:dyDescent="0.2">
      <c r="A2" s="468" t="s">
        <v>124</v>
      </c>
      <c r="B2" s="467" t="s">
        <v>83</v>
      </c>
      <c r="C2" s="470" t="s">
        <v>84</v>
      </c>
    </row>
    <row r="3" spans="1:3" s="125" customFormat="1" ht="18" customHeight="1" x14ac:dyDescent="0.2">
      <c r="A3" s="228" t="s">
        <v>5</v>
      </c>
      <c r="B3" s="231">
        <v>110</v>
      </c>
      <c r="C3" s="474">
        <v>1844</v>
      </c>
    </row>
    <row r="4" spans="1:3" s="125" customFormat="1" ht="18" customHeight="1" x14ac:dyDescent="0.2">
      <c r="A4" s="228" t="s">
        <v>6</v>
      </c>
      <c r="B4" s="231">
        <f>B5+B6</f>
        <v>8</v>
      </c>
      <c r="C4" s="231">
        <f>C5+C6</f>
        <v>167.7756</v>
      </c>
    </row>
    <row r="5" spans="1:3" s="125" customFormat="1" ht="18" customHeight="1" x14ac:dyDescent="0.3">
      <c r="A5" s="229" t="s">
        <v>70</v>
      </c>
      <c r="B5" s="231">
        <v>3</v>
      </c>
      <c r="C5" s="469">
        <v>61.945599999999999</v>
      </c>
    </row>
    <row r="6" spans="1:3" s="125" customFormat="1" ht="18" customHeight="1" x14ac:dyDescent="0.2">
      <c r="A6" s="230">
        <v>43586</v>
      </c>
      <c r="B6" s="231">
        <v>5</v>
      </c>
      <c r="C6" s="474">
        <v>105.83</v>
      </c>
    </row>
    <row r="7" spans="1:3" s="125" customFormat="1" ht="15" customHeight="1" x14ac:dyDescent="0.2">
      <c r="A7" s="575" t="s">
        <v>846</v>
      </c>
      <c r="B7" s="575"/>
      <c r="C7" s="575"/>
    </row>
    <row r="8" spans="1:3" s="125" customFormat="1" ht="13.5" customHeight="1" x14ac:dyDescent="0.2">
      <c r="A8" s="575" t="s">
        <v>85</v>
      </c>
      <c r="B8" s="575"/>
      <c r="C8" s="575"/>
    </row>
    <row r="9" spans="1:3" s="125" customFormat="1" ht="27.6" customHeight="1" x14ac:dyDescent="0.2"/>
  </sheetData>
  <mergeCells count="3">
    <mergeCell ref="A1:C1"/>
    <mergeCell ref="A7:C7"/>
    <mergeCell ref="A8:C8"/>
  </mergeCell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view="pageBreakPreview" zoomScale="90" zoomScaleNormal="100" zoomScaleSheetLayoutView="90" workbookViewId="0">
      <selection sqref="A1:R1"/>
    </sheetView>
  </sheetViews>
  <sheetFormatPr defaultRowHeight="15" x14ac:dyDescent="0.25"/>
  <cols>
    <col min="1" max="7" width="9.28515625" style="87" bestFit="1" customWidth="1"/>
    <col min="8" max="8" width="13.7109375" style="87" customWidth="1"/>
    <col min="9" max="11" width="9.28515625" style="87" bestFit="1" customWidth="1"/>
    <col min="12" max="12" width="10.140625" style="87" bestFit="1" customWidth="1"/>
    <col min="13" max="15" width="9.28515625" style="87" bestFit="1" customWidth="1"/>
    <col min="16" max="16" width="11" style="87" bestFit="1" customWidth="1"/>
    <col min="17" max="17" width="11.28515625" style="87" customWidth="1"/>
    <col min="18" max="18" width="9.140625" style="87" customWidth="1"/>
    <col min="19" max="16384" width="9.140625" style="87"/>
  </cols>
  <sheetData>
    <row r="1" spans="1:18" s="567" customFormat="1" x14ac:dyDescent="0.25">
      <c r="A1" s="753" t="s">
        <v>1058</v>
      </c>
      <c r="B1" s="754"/>
      <c r="C1" s="754"/>
      <c r="D1" s="754"/>
      <c r="E1" s="754"/>
      <c r="F1" s="754"/>
      <c r="G1" s="754"/>
      <c r="H1" s="754"/>
      <c r="I1" s="754"/>
      <c r="J1" s="754"/>
      <c r="K1" s="754"/>
      <c r="L1" s="754"/>
      <c r="M1" s="754"/>
      <c r="N1" s="754"/>
      <c r="O1" s="754"/>
      <c r="P1" s="754"/>
      <c r="Q1" s="754"/>
      <c r="R1" s="754"/>
    </row>
    <row r="2" spans="1:18" s="567" customFormat="1" ht="30" customHeight="1" x14ac:dyDescent="0.25">
      <c r="A2" s="755" t="s">
        <v>490</v>
      </c>
      <c r="B2" s="755" t="s">
        <v>711</v>
      </c>
      <c r="C2" s="755" t="s">
        <v>748</v>
      </c>
      <c r="D2" s="755"/>
      <c r="E2" s="755"/>
      <c r="F2" s="755" t="s">
        <v>749</v>
      </c>
      <c r="G2" s="755"/>
      <c r="H2" s="755"/>
      <c r="I2" s="755" t="s">
        <v>750</v>
      </c>
      <c r="J2" s="755"/>
      <c r="K2" s="755"/>
      <c r="L2" s="756" t="s">
        <v>693</v>
      </c>
      <c r="M2" s="757"/>
      <c r="N2" s="758"/>
      <c r="O2" s="756" t="s">
        <v>64</v>
      </c>
      <c r="P2" s="758"/>
      <c r="Q2" s="755" t="s">
        <v>715</v>
      </c>
      <c r="R2" s="755"/>
    </row>
    <row r="3" spans="1:18" s="567" customFormat="1" ht="45" x14ac:dyDescent="0.25">
      <c r="A3" s="755"/>
      <c r="B3" s="755"/>
      <c r="C3" s="328" t="s">
        <v>751</v>
      </c>
      <c r="D3" s="328" t="s">
        <v>717</v>
      </c>
      <c r="E3" s="328" t="s">
        <v>1017</v>
      </c>
      <c r="F3" s="328" t="s">
        <v>752</v>
      </c>
      <c r="G3" s="328" t="s">
        <v>717</v>
      </c>
      <c r="H3" s="328" t="s">
        <v>1017</v>
      </c>
      <c r="I3" s="328" t="s">
        <v>753</v>
      </c>
      <c r="J3" s="328" t="s">
        <v>717</v>
      </c>
      <c r="K3" s="328" t="s">
        <v>1017</v>
      </c>
      <c r="L3" s="328" t="s">
        <v>754</v>
      </c>
      <c r="M3" s="328" t="s">
        <v>717</v>
      </c>
      <c r="N3" s="328" t="s">
        <v>1017</v>
      </c>
      <c r="O3" s="328" t="s">
        <v>717</v>
      </c>
      <c r="P3" s="328" t="s">
        <v>1017</v>
      </c>
      <c r="Q3" s="328" t="s">
        <v>719</v>
      </c>
      <c r="R3" s="328" t="s">
        <v>1014</v>
      </c>
    </row>
    <row r="4" spans="1:18" s="567" customFormat="1" x14ac:dyDescent="0.25">
      <c r="A4" s="568" t="s">
        <v>5</v>
      </c>
      <c r="B4" s="352">
        <v>128</v>
      </c>
      <c r="C4" s="352">
        <v>21</v>
      </c>
      <c r="D4" s="352">
        <v>21</v>
      </c>
      <c r="E4" s="352">
        <v>0.99</v>
      </c>
      <c r="F4" s="352">
        <v>771.64099999999985</v>
      </c>
      <c r="G4" s="352">
        <v>103678</v>
      </c>
      <c r="H4" s="352">
        <v>28079.568538000003</v>
      </c>
      <c r="I4" s="352">
        <f>7700/7.33</f>
        <v>1050.4774897680763</v>
      </c>
      <c r="J4" s="352">
        <v>77</v>
      </c>
      <c r="K4" s="352">
        <v>4.2851400000000002</v>
      </c>
      <c r="L4" s="352">
        <v>793415.25</v>
      </c>
      <c r="M4" s="352">
        <v>101429</v>
      </c>
      <c r="N4" s="352">
        <v>4718.8899999999994</v>
      </c>
      <c r="O4" s="352">
        <f>D4+G4+J4+M4</f>
        <v>205205</v>
      </c>
      <c r="P4" s="352">
        <v>32803.747987000002</v>
      </c>
      <c r="Q4" s="352">
        <v>1052</v>
      </c>
      <c r="R4" s="352">
        <v>73.27</v>
      </c>
    </row>
    <row r="5" spans="1:18" s="567" customFormat="1" x14ac:dyDescent="0.25">
      <c r="A5" s="568" t="s">
        <v>6</v>
      </c>
      <c r="B5" s="352">
        <f>SUM(B6:B7)</f>
        <v>43</v>
      </c>
      <c r="C5" s="352">
        <f t="shared" ref="C5:P5" si="0">SUM(C6:C7)</f>
        <v>600</v>
      </c>
      <c r="D5" s="352">
        <f t="shared" si="0"/>
        <v>600</v>
      </c>
      <c r="E5" s="352">
        <f t="shared" si="0"/>
        <v>27.229949999999999</v>
      </c>
      <c r="F5" s="352">
        <f t="shared" si="0"/>
        <v>229.23000000000002</v>
      </c>
      <c r="G5" s="352">
        <f t="shared" si="0"/>
        <v>21043</v>
      </c>
      <c r="H5" s="352">
        <f t="shared" si="0"/>
        <v>4348.79</v>
      </c>
      <c r="I5" s="352">
        <f t="shared" si="0"/>
        <v>0</v>
      </c>
      <c r="J5" s="352">
        <f t="shared" si="0"/>
        <v>0</v>
      </c>
      <c r="K5" s="352">
        <f t="shared" si="0"/>
        <v>0</v>
      </c>
      <c r="L5" s="352">
        <f t="shared" si="0"/>
        <v>1555253</v>
      </c>
      <c r="M5" s="352">
        <f t="shared" si="0"/>
        <v>127725</v>
      </c>
      <c r="N5" s="352">
        <f t="shared" si="0"/>
        <v>6255.27</v>
      </c>
      <c r="O5" s="352">
        <f t="shared" si="0"/>
        <v>149368</v>
      </c>
      <c r="P5" s="352">
        <f t="shared" si="0"/>
        <v>10631.289949999998</v>
      </c>
      <c r="Q5" s="352">
        <f>Q7</f>
        <v>1002</v>
      </c>
      <c r="R5" s="352">
        <f>R7</f>
        <v>93.23</v>
      </c>
    </row>
    <row r="6" spans="1:18" s="567" customFormat="1" x14ac:dyDescent="0.25">
      <c r="A6" s="353">
        <v>43556</v>
      </c>
      <c r="B6" s="367">
        <v>20</v>
      </c>
      <c r="C6" s="569">
        <v>7</v>
      </c>
      <c r="D6" s="367">
        <v>7</v>
      </c>
      <c r="E6" s="569">
        <v>0.33</v>
      </c>
      <c r="F6" s="367">
        <v>109.79</v>
      </c>
      <c r="G6" s="367">
        <v>10431</v>
      </c>
      <c r="H6" s="569">
        <v>2217.9</v>
      </c>
      <c r="I6" s="367">
        <v>0</v>
      </c>
      <c r="J6" s="367">
        <v>0</v>
      </c>
      <c r="K6" s="569">
        <v>0</v>
      </c>
      <c r="L6" s="367">
        <v>416618</v>
      </c>
      <c r="M6" s="569">
        <v>55862</v>
      </c>
      <c r="N6" s="569">
        <v>2771.82</v>
      </c>
      <c r="O6" s="367">
        <v>66300</v>
      </c>
      <c r="P6" s="367">
        <v>4990.05</v>
      </c>
      <c r="Q6" s="367">
        <v>1175</v>
      </c>
      <c r="R6" s="367">
        <v>106.29</v>
      </c>
    </row>
    <row r="7" spans="1:18" s="567" customFormat="1" x14ac:dyDescent="0.25">
      <c r="A7" s="353">
        <v>43587</v>
      </c>
      <c r="B7" s="367">
        <v>23</v>
      </c>
      <c r="C7" s="569">
        <v>593</v>
      </c>
      <c r="D7" s="367">
        <v>593</v>
      </c>
      <c r="E7" s="569">
        <v>26.89995</v>
      </c>
      <c r="F7" s="367">
        <v>119.44</v>
      </c>
      <c r="G7" s="367">
        <v>10612</v>
      </c>
      <c r="H7" s="569">
        <v>2130.89</v>
      </c>
      <c r="I7" s="367">
        <v>0</v>
      </c>
      <c r="J7" s="367">
        <v>0</v>
      </c>
      <c r="K7" s="569">
        <v>0</v>
      </c>
      <c r="L7" s="367">
        <v>1138635</v>
      </c>
      <c r="M7" s="569">
        <v>71863</v>
      </c>
      <c r="N7" s="569">
        <v>3483.45</v>
      </c>
      <c r="O7" s="367">
        <v>83068</v>
      </c>
      <c r="P7" s="367">
        <v>5641.2399499999992</v>
      </c>
      <c r="Q7" s="367">
        <v>1002</v>
      </c>
      <c r="R7" s="367">
        <v>93.23</v>
      </c>
    </row>
    <row r="8" spans="1:18" s="567" customFormat="1" x14ac:dyDescent="0.25">
      <c r="A8" s="570" t="str">
        <f>'[1]1'!A8</f>
        <v>$ indicates as on May 31, 2019</v>
      </c>
      <c r="B8" s="376"/>
      <c r="C8" s="376"/>
      <c r="D8" s="376"/>
      <c r="E8" s="376"/>
      <c r="F8" s="376"/>
      <c r="G8" s="376"/>
      <c r="H8" s="376"/>
      <c r="I8" s="376"/>
      <c r="J8" s="571"/>
      <c r="K8" s="571"/>
      <c r="L8" s="571"/>
      <c r="M8" s="571"/>
      <c r="N8" s="571"/>
      <c r="O8" s="571"/>
      <c r="P8" s="571"/>
      <c r="Q8" s="572"/>
      <c r="R8" s="573"/>
    </row>
    <row r="9" spans="1:18" s="567" customFormat="1" x14ac:dyDescent="0.25">
      <c r="A9" s="752" t="s">
        <v>755</v>
      </c>
      <c r="B9" s="752"/>
      <c r="C9" s="752"/>
      <c r="D9" s="752"/>
      <c r="E9" s="752"/>
      <c r="F9" s="752"/>
      <c r="G9" s="752"/>
      <c r="H9" s="752"/>
      <c r="I9" s="752"/>
      <c r="J9" s="571"/>
      <c r="K9" s="571"/>
      <c r="L9" s="571"/>
      <c r="M9" s="571"/>
      <c r="N9" s="571"/>
      <c r="O9" s="571"/>
      <c r="P9" s="571"/>
      <c r="Q9" s="572"/>
      <c r="R9" s="573"/>
    </row>
    <row r="10" spans="1:18" x14ac:dyDescent="0.25">
      <c r="A10" s="256" t="s">
        <v>416</v>
      </c>
      <c r="B10" s="254"/>
      <c r="C10" s="254"/>
      <c r="D10" s="254"/>
      <c r="E10" s="254"/>
      <c r="F10" s="254"/>
      <c r="G10" s="254"/>
      <c r="H10" s="258"/>
      <c r="I10" s="254"/>
      <c r="J10" s="258"/>
      <c r="K10" s="254"/>
      <c r="L10" s="267"/>
      <c r="M10" s="258"/>
      <c r="N10" s="258"/>
      <c r="O10" s="254"/>
      <c r="P10" s="254"/>
      <c r="Q10" s="254"/>
      <c r="R10" s="254"/>
    </row>
    <row r="12" spans="1:18" x14ac:dyDescent="0.25">
      <c r="P12" s="92"/>
    </row>
    <row r="13" spans="1:18" x14ac:dyDescent="0.25">
      <c r="H13" s="92"/>
      <c r="P13" s="92"/>
      <c r="Q13" s="92"/>
    </row>
    <row r="14" spans="1:18" x14ac:dyDescent="0.25">
      <c r="H14" s="92"/>
      <c r="P14" s="92"/>
    </row>
    <row r="15" spans="1:18" x14ac:dyDescent="0.25">
      <c r="P15" s="92"/>
    </row>
    <row r="16" spans="1:18" x14ac:dyDescent="0.25">
      <c r="H16" s="92"/>
      <c r="P16" s="92"/>
    </row>
  </sheetData>
  <mergeCells count="10">
    <mergeCell ref="A9:I9"/>
    <mergeCell ref="A1:R1"/>
    <mergeCell ref="A2:A3"/>
    <mergeCell ref="B2:B3"/>
    <mergeCell ref="C2:E2"/>
    <mergeCell ref="F2:H2"/>
    <mergeCell ref="I2:K2"/>
    <mergeCell ref="L2:N2"/>
    <mergeCell ref="O2:P2"/>
    <mergeCell ref="Q2:R2"/>
  </mergeCells>
  <pageMargins left="0.7" right="0.7" top="0.75" bottom="0.75" header="0.3" footer="0.3"/>
  <pageSetup scale="54"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view="pageBreakPreview" zoomScale="110" zoomScaleNormal="100" zoomScaleSheetLayoutView="110" workbookViewId="0"/>
  </sheetViews>
  <sheetFormatPr defaultRowHeight="15" x14ac:dyDescent="0.25"/>
  <cols>
    <col min="1" max="12" width="9.140625" style="87"/>
    <col min="13" max="13" width="9.42578125" style="87" bestFit="1" customWidth="1"/>
    <col min="14" max="16384" width="9.140625" style="87"/>
  </cols>
  <sheetData>
    <row r="1" spans="1:15" x14ac:dyDescent="0.25">
      <c r="A1" s="134" t="s">
        <v>1057</v>
      </c>
    </row>
    <row r="2" spans="1:15" ht="36.75" customHeight="1" x14ac:dyDescent="0.25">
      <c r="A2" s="740" t="s">
        <v>490</v>
      </c>
      <c r="B2" s="740" t="s">
        <v>711</v>
      </c>
      <c r="C2" s="740" t="s">
        <v>749</v>
      </c>
      <c r="D2" s="740"/>
      <c r="E2" s="740"/>
      <c r="F2" s="741" t="s">
        <v>714</v>
      </c>
      <c r="G2" s="751"/>
      <c r="H2" s="742"/>
      <c r="I2" s="741" t="s">
        <v>64</v>
      </c>
      <c r="J2" s="742"/>
      <c r="K2" s="350" t="s">
        <v>715</v>
      </c>
      <c r="L2" s="350"/>
    </row>
    <row r="3" spans="1:15" ht="45" x14ac:dyDescent="0.25">
      <c r="A3" s="740"/>
      <c r="B3" s="740"/>
      <c r="C3" s="350" t="s">
        <v>1005</v>
      </c>
      <c r="D3" s="350" t="s">
        <v>717</v>
      </c>
      <c r="E3" s="350" t="s">
        <v>1017</v>
      </c>
      <c r="F3" s="350" t="s">
        <v>1005</v>
      </c>
      <c r="G3" s="348" t="s">
        <v>717</v>
      </c>
      <c r="H3" s="348" t="s">
        <v>1013</v>
      </c>
      <c r="I3" s="348" t="s">
        <v>717</v>
      </c>
      <c r="J3" s="348" t="s">
        <v>1013</v>
      </c>
      <c r="K3" s="350" t="s">
        <v>719</v>
      </c>
      <c r="L3" s="350" t="s">
        <v>1014</v>
      </c>
    </row>
    <row r="4" spans="1:15" x14ac:dyDescent="0.25">
      <c r="A4" s="361" t="s">
        <v>5</v>
      </c>
      <c r="B4" s="370">
        <v>120</v>
      </c>
      <c r="C4" s="370">
        <v>148.73920000000004</v>
      </c>
      <c r="D4" s="370">
        <v>36315</v>
      </c>
      <c r="E4" s="370">
        <v>3374.5538409999999</v>
      </c>
      <c r="F4" s="370">
        <v>10584</v>
      </c>
      <c r="G4" s="370">
        <v>10584</v>
      </c>
      <c r="H4" s="370">
        <v>69.264048000000003</v>
      </c>
      <c r="I4" s="370">
        <v>46899</v>
      </c>
      <c r="J4" s="370">
        <v>3443.8178889999999</v>
      </c>
      <c r="K4" s="370">
        <v>159</v>
      </c>
      <c r="L4" s="370">
        <v>6.59</v>
      </c>
    </row>
    <row r="5" spans="1:15" x14ac:dyDescent="0.25">
      <c r="A5" s="361" t="s">
        <v>6</v>
      </c>
      <c r="B5" s="370">
        <f>SUM(B6:B7)</f>
        <v>43</v>
      </c>
      <c r="C5" s="370">
        <f t="shared" ref="C5:J5" si="0">SUM(C6:C7)</f>
        <v>7.8773</v>
      </c>
      <c r="D5" s="370">
        <f t="shared" si="0"/>
        <v>23695</v>
      </c>
      <c r="E5" s="370">
        <f t="shared" si="0"/>
        <v>818.17190499999992</v>
      </c>
      <c r="F5" s="370">
        <f t="shared" si="0"/>
        <v>2.3759890859481585</v>
      </c>
      <c r="G5" s="370">
        <f t="shared" si="0"/>
        <v>17416</v>
      </c>
      <c r="H5" s="370">
        <f t="shared" si="0"/>
        <v>113.92621400000002</v>
      </c>
      <c r="I5" s="370">
        <f t="shared" si="0"/>
        <v>41111</v>
      </c>
      <c r="J5" s="370">
        <f t="shared" si="0"/>
        <v>932.09811899999977</v>
      </c>
      <c r="K5" s="370">
        <f>K7</f>
        <v>45</v>
      </c>
      <c r="L5" s="370">
        <f>L7</f>
        <v>1.27</v>
      </c>
    </row>
    <row r="6" spans="1:15" x14ac:dyDescent="0.25">
      <c r="A6" s="346">
        <v>43556</v>
      </c>
      <c r="B6" s="354">
        <v>20</v>
      </c>
      <c r="C6" s="354">
        <v>6.2169999999999996</v>
      </c>
      <c r="D6" s="354">
        <v>12468</v>
      </c>
      <c r="E6" s="354">
        <v>431.03876900000006</v>
      </c>
      <c r="F6" s="354">
        <v>1.1518417462482946</v>
      </c>
      <c r="G6" s="354">
        <v>8443</v>
      </c>
      <c r="H6" s="354">
        <v>58.747573000000003</v>
      </c>
      <c r="I6" s="354">
        <v>20911</v>
      </c>
      <c r="J6" s="354">
        <v>489.78634199999982</v>
      </c>
      <c r="K6" s="354">
        <v>91</v>
      </c>
      <c r="L6" s="354">
        <v>4.3600000000000003</v>
      </c>
    </row>
    <row r="7" spans="1:15" x14ac:dyDescent="0.25">
      <c r="A7" s="346">
        <v>43587</v>
      </c>
      <c r="B7" s="354">
        <v>23</v>
      </c>
      <c r="C7" s="354">
        <v>1.6602999999999999</v>
      </c>
      <c r="D7" s="354">
        <v>11227</v>
      </c>
      <c r="E7" s="354">
        <v>387.13313599999987</v>
      </c>
      <c r="F7" s="354">
        <v>1.2241473396998637</v>
      </c>
      <c r="G7" s="354">
        <v>8973</v>
      </c>
      <c r="H7" s="354">
        <v>55.178641000000006</v>
      </c>
      <c r="I7" s="354">
        <v>20200</v>
      </c>
      <c r="J7" s="354">
        <v>442.31177699999989</v>
      </c>
      <c r="K7" s="354">
        <v>45</v>
      </c>
      <c r="L7" s="354">
        <v>1.27</v>
      </c>
    </row>
    <row r="8" spans="1:15" x14ac:dyDescent="0.25">
      <c r="A8" s="257" t="str">
        <f>'[1]1'!A8</f>
        <v>$ indicates as on May 31, 2019</v>
      </c>
      <c r="B8" s="378"/>
      <c r="C8" s="374"/>
      <c r="D8" s="374"/>
      <c r="E8" s="377"/>
      <c r="F8" s="374"/>
      <c r="G8" s="374"/>
      <c r="H8" s="374"/>
      <c r="I8" s="374"/>
      <c r="J8" s="374"/>
      <c r="K8" s="374"/>
      <c r="L8" s="374"/>
    </row>
    <row r="9" spans="1:15" x14ac:dyDescent="0.25">
      <c r="A9" s="759" t="s">
        <v>756</v>
      </c>
      <c r="B9" s="759"/>
      <c r="C9" s="759"/>
      <c r="D9" s="759"/>
      <c r="E9" s="759"/>
      <c r="F9" s="759"/>
      <c r="G9" s="759"/>
      <c r="H9" s="759"/>
      <c r="I9" s="759"/>
      <c r="J9" s="759"/>
      <c r="K9" s="759"/>
      <c r="L9" s="759"/>
    </row>
    <row r="10" spans="1:15" x14ac:dyDescent="0.25">
      <c r="A10" s="256" t="s">
        <v>169</v>
      </c>
      <c r="B10" s="374"/>
      <c r="C10" s="374"/>
      <c r="D10" s="374"/>
      <c r="E10" s="374"/>
      <c r="F10" s="374"/>
      <c r="G10" s="374"/>
      <c r="H10" s="374"/>
      <c r="I10" s="374"/>
      <c r="J10" s="374"/>
      <c r="K10" s="374"/>
      <c r="L10" s="374"/>
    </row>
    <row r="15" spans="1:15" x14ac:dyDescent="0.25">
      <c r="M15" s="90"/>
      <c r="N15" s="90"/>
      <c r="O15" s="90"/>
    </row>
    <row r="16" spans="1:15" x14ac:dyDescent="0.25">
      <c r="M16" s="90"/>
      <c r="N16" s="90"/>
      <c r="O16" s="90"/>
    </row>
    <row r="17" spans="13:16" x14ac:dyDescent="0.25">
      <c r="M17" s="90"/>
      <c r="N17" s="90"/>
      <c r="O17" s="90"/>
    </row>
    <row r="18" spans="13:16" x14ac:dyDescent="0.25">
      <c r="M18" s="90"/>
      <c r="N18" s="90"/>
      <c r="O18" s="90"/>
    </row>
    <row r="19" spans="13:16" x14ac:dyDescent="0.25">
      <c r="M19" s="90"/>
      <c r="N19" s="90"/>
      <c r="O19" s="90"/>
    </row>
    <row r="23" spans="13:16" x14ac:dyDescent="0.25">
      <c r="P23" s="90"/>
    </row>
  </sheetData>
  <mergeCells count="6">
    <mergeCell ref="A9:L9"/>
    <mergeCell ref="A2:A3"/>
    <mergeCell ref="B2:B3"/>
    <mergeCell ref="C2:E2"/>
    <mergeCell ref="F2:H2"/>
    <mergeCell ref="I2:J2"/>
  </mergeCells>
  <pageMargins left="0.7" right="0.7" top="0.75" bottom="0.75" header="0.3" footer="0.3"/>
  <pageSetup scale="84"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view="pageBreakPreview" zoomScale="115" zoomScaleNormal="115" zoomScaleSheetLayoutView="115" workbookViewId="0">
      <selection sqref="A1:N1"/>
    </sheetView>
  </sheetViews>
  <sheetFormatPr defaultRowHeight="12.75" x14ac:dyDescent="0.2"/>
  <cols>
    <col min="1" max="1" width="9.140625" style="68" customWidth="1"/>
    <col min="2" max="2" width="9.7109375" style="68" customWidth="1"/>
    <col min="3" max="3" width="7.85546875" style="68" customWidth="1"/>
    <col min="4" max="5" width="9.140625" style="68"/>
    <col min="6" max="6" width="10.7109375" style="68" customWidth="1"/>
    <col min="7" max="7" width="10.28515625" style="68" customWidth="1"/>
    <col min="8" max="17" width="9.140625" style="68"/>
    <col min="18" max="18" width="9" style="68" customWidth="1"/>
    <col min="19" max="16384" width="9.140625" style="68"/>
  </cols>
  <sheetData>
    <row r="1" spans="1:21" s="93" customFormat="1" ht="18" customHeight="1" x14ac:dyDescent="0.25">
      <c r="A1" s="718" t="s">
        <v>1056</v>
      </c>
      <c r="B1" s="719"/>
      <c r="C1" s="719"/>
      <c r="D1" s="719"/>
      <c r="E1" s="719"/>
      <c r="F1" s="719"/>
      <c r="G1" s="719"/>
      <c r="H1" s="719"/>
      <c r="I1" s="719"/>
      <c r="J1" s="719"/>
      <c r="K1" s="719"/>
      <c r="L1" s="719"/>
      <c r="M1" s="719"/>
      <c r="N1" s="719"/>
    </row>
    <row r="2" spans="1:21" ht="17.25" customHeight="1" x14ac:dyDescent="0.25">
      <c r="A2" s="765" t="s">
        <v>82</v>
      </c>
      <c r="B2" s="760" t="s">
        <v>702</v>
      </c>
      <c r="C2" s="761"/>
      <c r="D2" s="761"/>
      <c r="E2" s="768"/>
      <c r="F2" s="760" t="s">
        <v>698</v>
      </c>
      <c r="G2" s="761"/>
      <c r="H2" s="761"/>
      <c r="I2" s="760" t="s">
        <v>703</v>
      </c>
      <c r="J2" s="761"/>
      <c r="K2" s="761"/>
      <c r="L2" s="768"/>
      <c r="M2" s="760" t="s">
        <v>129</v>
      </c>
      <c r="N2" s="761"/>
      <c r="O2" s="761"/>
      <c r="P2" s="768"/>
      <c r="Q2" s="760" t="s">
        <v>130</v>
      </c>
      <c r="R2" s="761"/>
    </row>
    <row r="3" spans="1:21" ht="12.75" customHeight="1" x14ac:dyDescent="0.2">
      <c r="A3" s="766"/>
      <c r="B3" s="762" t="s">
        <v>757</v>
      </c>
      <c r="C3" s="763"/>
      <c r="D3" s="741" t="s">
        <v>758</v>
      </c>
      <c r="E3" s="742"/>
      <c r="F3" s="762" t="s">
        <v>693</v>
      </c>
      <c r="G3" s="764"/>
      <c r="H3" s="763"/>
      <c r="I3" s="762" t="s">
        <v>693</v>
      </c>
      <c r="J3" s="763"/>
      <c r="K3" s="741" t="s">
        <v>759</v>
      </c>
      <c r="L3" s="742"/>
      <c r="M3" s="741" t="s">
        <v>759</v>
      </c>
      <c r="N3" s="742"/>
      <c r="O3" s="741" t="s">
        <v>693</v>
      </c>
      <c r="P3" s="742"/>
      <c r="Q3" s="741" t="s">
        <v>759</v>
      </c>
      <c r="R3" s="742"/>
    </row>
    <row r="4" spans="1:21" ht="15" x14ac:dyDescent="0.2">
      <c r="A4" s="767"/>
      <c r="B4" s="379" t="s">
        <v>203</v>
      </c>
      <c r="C4" s="379" t="s">
        <v>760</v>
      </c>
      <c r="D4" s="379" t="s">
        <v>203</v>
      </c>
      <c r="E4" s="379" t="s">
        <v>760</v>
      </c>
      <c r="F4" s="379" t="s">
        <v>203</v>
      </c>
      <c r="G4" s="379" t="s">
        <v>760</v>
      </c>
      <c r="H4" s="379" t="s">
        <v>761</v>
      </c>
      <c r="I4" s="379" t="s">
        <v>203</v>
      </c>
      <c r="J4" s="379" t="s">
        <v>760</v>
      </c>
      <c r="K4" s="379" t="s">
        <v>203</v>
      </c>
      <c r="L4" s="379" t="s">
        <v>760</v>
      </c>
      <c r="M4" s="379" t="s">
        <v>203</v>
      </c>
      <c r="N4" s="379" t="s">
        <v>760</v>
      </c>
      <c r="O4" s="379" t="s">
        <v>203</v>
      </c>
      <c r="P4" s="379" t="s">
        <v>760</v>
      </c>
      <c r="Q4" s="379" t="s">
        <v>203</v>
      </c>
      <c r="R4" s="379" t="s">
        <v>760</v>
      </c>
    </row>
    <row r="5" spans="1:21" s="71" customFormat="1" ht="15" x14ac:dyDescent="0.25">
      <c r="A5" s="344" t="s">
        <v>5</v>
      </c>
      <c r="B5" s="380">
        <v>38.24843636704783</v>
      </c>
      <c r="C5" s="380">
        <v>61.75156363295217</v>
      </c>
      <c r="D5" s="380">
        <v>27.622798014852613</v>
      </c>
      <c r="E5" s="380">
        <v>72.377201985147394</v>
      </c>
      <c r="F5" s="381">
        <v>44.124684505659182</v>
      </c>
      <c r="G5" s="381">
        <v>55.463657380271655</v>
      </c>
      <c r="H5" s="382">
        <v>0.41165811406914354</v>
      </c>
      <c r="I5" s="381">
        <v>7.19</v>
      </c>
      <c r="J5" s="381">
        <v>92.81</v>
      </c>
      <c r="K5" s="381">
        <v>45.46</v>
      </c>
      <c r="L5" s="381">
        <v>54.54</v>
      </c>
      <c r="M5" s="381">
        <v>92.954601508123332</v>
      </c>
      <c r="N5" s="381">
        <v>7.0453984918766688</v>
      </c>
      <c r="O5" s="381" t="s">
        <v>575</v>
      </c>
      <c r="P5" s="381" t="s">
        <v>575</v>
      </c>
      <c r="Q5" s="381">
        <v>83.932336774617426</v>
      </c>
      <c r="R5" s="381">
        <v>16.067663225382567</v>
      </c>
    </row>
    <row r="6" spans="1:21" s="71" customFormat="1" ht="15" x14ac:dyDescent="0.25">
      <c r="A6" s="344" t="s">
        <v>6</v>
      </c>
      <c r="B6" s="380">
        <v>39.377945358042027</v>
      </c>
      <c r="C6" s="380">
        <v>60.62205464195798</v>
      </c>
      <c r="D6" s="380">
        <v>30.83593197437764</v>
      </c>
      <c r="E6" s="380">
        <v>69.164068025622356</v>
      </c>
      <c r="F6" s="381">
        <f>AVERAGE(F7:F8)</f>
        <v>47.669197283419848</v>
      </c>
      <c r="G6" s="381">
        <f t="shared" ref="G6:H6" si="0">AVERAGE(G7:G8)</f>
        <v>51.399712472308664</v>
      </c>
      <c r="H6" s="382">
        <f t="shared" si="0"/>
        <v>0.93109024427148523</v>
      </c>
      <c r="I6" s="381">
        <v>54.76</v>
      </c>
      <c r="J6" s="381">
        <v>45.24</v>
      </c>
      <c r="K6" s="381">
        <v>69.819999999999993</v>
      </c>
      <c r="L6" s="381">
        <v>30.18</v>
      </c>
      <c r="M6" s="381">
        <v>39.045636216010188</v>
      </c>
      <c r="N6" s="381">
        <v>2.1160506352587607</v>
      </c>
      <c r="O6" s="381">
        <v>41.994280148830669</v>
      </c>
      <c r="P6" s="381">
        <v>16.844032999900385</v>
      </c>
      <c r="Q6" s="381">
        <v>51.843515897064066</v>
      </c>
      <c r="R6" s="381">
        <v>48.156484102935941</v>
      </c>
    </row>
    <row r="7" spans="1:21" s="71" customFormat="1" ht="15" x14ac:dyDescent="0.25">
      <c r="A7" s="383">
        <v>43556</v>
      </c>
      <c r="B7" s="384">
        <v>39.596508484151968</v>
      </c>
      <c r="C7" s="384">
        <v>60.403491515848032</v>
      </c>
      <c r="D7" s="384">
        <v>29.710732137800083</v>
      </c>
      <c r="E7" s="384">
        <v>70.289267862199907</v>
      </c>
      <c r="F7" s="385">
        <v>47.493273169772991</v>
      </c>
      <c r="G7" s="385">
        <v>51.791447087313699</v>
      </c>
      <c r="H7" s="386">
        <v>0.71527974291330443</v>
      </c>
      <c r="I7" s="384">
        <v>55.62</v>
      </c>
      <c r="J7" s="384">
        <v>44.38</v>
      </c>
      <c r="K7" s="384">
        <v>64.5</v>
      </c>
      <c r="L7" s="384">
        <v>35.5</v>
      </c>
      <c r="M7" s="385">
        <v>47.508401196808798</v>
      </c>
      <c r="N7" s="385">
        <v>2.4915988031911742</v>
      </c>
      <c r="O7" s="385">
        <v>36.91367970708999</v>
      </c>
      <c r="P7" s="385">
        <v>13.086320292910012</v>
      </c>
      <c r="Q7" s="385">
        <v>50.49049479211488</v>
      </c>
      <c r="R7" s="385">
        <v>49.509505207885113</v>
      </c>
    </row>
    <row r="8" spans="1:21" ht="15" x14ac:dyDescent="0.25">
      <c r="A8" s="383">
        <v>43587</v>
      </c>
      <c r="B8" s="384">
        <v>39.168118985747583</v>
      </c>
      <c r="C8" s="384">
        <v>60.83188101425241</v>
      </c>
      <c r="D8" s="384">
        <v>31.779738863978025</v>
      </c>
      <c r="E8" s="384">
        <v>68.220261136021975</v>
      </c>
      <c r="F8" s="385">
        <v>47.845121397066698</v>
      </c>
      <c r="G8" s="385">
        <v>51.007977857303629</v>
      </c>
      <c r="H8" s="386">
        <v>1.146900745629666</v>
      </c>
      <c r="I8" s="384">
        <v>53.49</v>
      </c>
      <c r="J8" s="384">
        <v>46.51</v>
      </c>
      <c r="K8" s="384">
        <v>69.47</v>
      </c>
      <c r="L8" s="384">
        <v>30.53</v>
      </c>
      <c r="M8" s="385">
        <v>36.22191775379904</v>
      </c>
      <c r="N8" s="385">
        <v>2.0283621790851347</v>
      </c>
      <c r="O8" s="385">
        <v>42.865947984288262</v>
      </c>
      <c r="P8" s="385">
        <v>18.883772082827573</v>
      </c>
      <c r="Q8" s="385">
        <v>53.341760556377871</v>
      </c>
      <c r="R8" s="385">
        <v>46.658239443622143</v>
      </c>
    </row>
    <row r="9" spans="1:21" x14ac:dyDescent="0.2">
      <c r="A9" s="387" t="str">
        <f>'[1]66'!A8</f>
        <v>$ indicates as on May 31, 2019</v>
      </c>
      <c r="B9" s="387"/>
      <c r="C9" s="387"/>
      <c r="D9" s="387"/>
      <c r="E9" s="387"/>
      <c r="F9" s="257"/>
      <c r="G9" s="257"/>
      <c r="H9" s="257"/>
      <c r="I9" s="257"/>
      <c r="J9" s="254"/>
      <c r="K9" s="254"/>
      <c r="L9" s="254"/>
      <c r="M9" s="254"/>
      <c r="N9" s="254"/>
      <c r="O9" s="254"/>
      <c r="P9" s="254"/>
      <c r="Q9" s="254"/>
      <c r="R9" s="254"/>
    </row>
    <row r="10" spans="1:21" x14ac:dyDescent="0.2">
      <c r="A10" s="257" t="s">
        <v>762</v>
      </c>
      <c r="B10" s="257"/>
      <c r="C10" s="257"/>
      <c r="D10" s="257"/>
      <c r="E10" s="257"/>
      <c r="F10" s="257"/>
      <c r="G10" s="257"/>
      <c r="H10" s="257"/>
      <c r="I10" s="257"/>
      <c r="J10" s="254" t="s">
        <v>704</v>
      </c>
      <c r="K10" s="270"/>
      <c r="L10" s="271"/>
      <c r="M10" s="271"/>
      <c r="N10" s="271" t="s">
        <v>704</v>
      </c>
      <c r="O10" s="271" t="s">
        <v>704</v>
      </c>
      <c r="P10" s="271"/>
      <c r="Q10" s="271"/>
      <c r="R10" s="271"/>
      <c r="S10" s="62"/>
      <c r="T10" s="62"/>
      <c r="U10" s="62"/>
    </row>
    <row r="11" spans="1:21" x14ac:dyDescent="0.2">
      <c r="A11" s="256" t="s">
        <v>763</v>
      </c>
      <c r="B11" s="257"/>
      <c r="C11" s="257"/>
      <c r="D11" s="257"/>
      <c r="E11" s="387"/>
      <c r="F11" s="257"/>
      <c r="G11" s="257"/>
      <c r="H11" s="257"/>
      <c r="I11" s="257"/>
      <c r="J11" s="271"/>
      <c r="K11" s="254"/>
      <c r="L11" s="254"/>
      <c r="M11" s="254"/>
      <c r="N11" s="254"/>
      <c r="O11" s="254"/>
      <c r="P11" s="254"/>
      <c r="Q11" s="254"/>
      <c r="R11" s="254"/>
    </row>
  </sheetData>
  <mergeCells count="15">
    <mergeCell ref="A1:N1"/>
    <mergeCell ref="A2:A4"/>
    <mergeCell ref="B2:E2"/>
    <mergeCell ref="F2:H2"/>
    <mergeCell ref="I2:L2"/>
    <mergeCell ref="M2:P2"/>
    <mergeCell ref="Q2:R2"/>
    <mergeCell ref="B3:C3"/>
    <mergeCell ref="D3:E3"/>
    <mergeCell ref="F3:H3"/>
    <mergeCell ref="I3:J3"/>
    <mergeCell ref="K3:L3"/>
    <mergeCell ref="M3:N3"/>
    <mergeCell ref="O3:P3"/>
    <mergeCell ref="Q3:R3"/>
  </mergeCells>
  <pageMargins left="0.7" right="0.7" top="0.75" bottom="0.75" header="0.3" footer="0.3"/>
  <pageSetup scale="75"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9"/>
  <sheetViews>
    <sheetView view="pageBreakPreview" zoomScaleNormal="130" zoomScaleSheetLayoutView="100" workbookViewId="0">
      <selection sqref="A1:J1"/>
    </sheetView>
  </sheetViews>
  <sheetFormatPr defaultRowHeight="12.75" x14ac:dyDescent="0.2"/>
  <cols>
    <col min="1" max="1" width="9.42578125" style="94" bestFit="1" customWidth="1"/>
    <col min="2" max="2" width="17.7109375" style="94" customWidth="1"/>
    <col min="3" max="3" width="12.42578125" style="94" customWidth="1"/>
    <col min="4" max="4" width="13" style="94" customWidth="1"/>
    <col min="5" max="5" width="11" style="101" customWidth="1"/>
    <col min="6" max="6" width="11.28515625" style="101" customWidth="1"/>
    <col min="7" max="7" width="12" style="94" customWidth="1"/>
    <col min="8" max="8" width="12.5703125" style="94" customWidth="1"/>
    <col min="9" max="9" width="13" style="101" bestFit="1" customWidth="1"/>
    <col min="10" max="10" width="12" style="101" bestFit="1" customWidth="1"/>
    <col min="11" max="11" width="9.42578125" style="94" bestFit="1" customWidth="1"/>
    <col min="12" max="16384" width="9.140625" style="94"/>
  </cols>
  <sheetData>
    <row r="1" spans="1:14" ht="15" x14ac:dyDescent="0.2">
      <c r="A1" s="753" t="s">
        <v>1055</v>
      </c>
      <c r="B1" s="754"/>
      <c r="C1" s="754"/>
      <c r="D1" s="754"/>
      <c r="E1" s="754"/>
      <c r="F1" s="754"/>
      <c r="G1" s="754"/>
      <c r="H1" s="754"/>
      <c r="I1" s="754"/>
      <c r="J1" s="754"/>
    </row>
    <row r="2" spans="1:14" ht="12.75" customHeight="1" x14ac:dyDescent="0.2">
      <c r="A2" s="729" t="s">
        <v>764</v>
      </c>
      <c r="B2" s="782" t="s">
        <v>765</v>
      </c>
      <c r="C2" s="783" t="s">
        <v>6</v>
      </c>
      <c r="D2" s="784"/>
      <c r="E2" s="783">
        <v>43221</v>
      </c>
      <c r="F2" s="784"/>
      <c r="G2" s="783">
        <v>43556</v>
      </c>
      <c r="H2" s="784"/>
      <c r="I2" s="783">
        <v>43586</v>
      </c>
      <c r="J2" s="784"/>
    </row>
    <row r="3" spans="1:14" ht="45" x14ac:dyDescent="0.2">
      <c r="A3" s="729"/>
      <c r="B3" s="782"/>
      <c r="C3" s="388" t="s">
        <v>735</v>
      </c>
      <c r="D3" s="359" t="s">
        <v>1014</v>
      </c>
      <c r="E3" s="388" t="s">
        <v>735</v>
      </c>
      <c r="F3" s="359" t="s">
        <v>1014</v>
      </c>
      <c r="G3" s="388" t="s">
        <v>735</v>
      </c>
      <c r="H3" s="359" t="s">
        <v>1014</v>
      </c>
      <c r="I3" s="388" t="s">
        <v>735</v>
      </c>
      <c r="J3" s="359" t="s">
        <v>1014</v>
      </c>
    </row>
    <row r="4" spans="1:14" ht="15" x14ac:dyDescent="0.2">
      <c r="A4" s="770" t="s">
        <v>691</v>
      </c>
      <c r="B4" s="770"/>
      <c r="C4" s="770"/>
      <c r="D4" s="770"/>
      <c r="E4" s="770"/>
      <c r="F4" s="770"/>
      <c r="G4" s="770"/>
      <c r="H4" s="770"/>
      <c r="I4" s="770"/>
      <c r="J4" s="770"/>
    </row>
    <row r="5" spans="1:14" ht="15" x14ac:dyDescent="0.2">
      <c r="A5" s="389" t="s">
        <v>616</v>
      </c>
      <c r="B5" s="771" t="s">
        <v>713</v>
      </c>
      <c r="C5" s="772"/>
      <c r="D5" s="772"/>
      <c r="E5" s="772"/>
      <c r="F5" s="772"/>
      <c r="G5" s="772"/>
      <c r="H5" s="772"/>
      <c r="I5" s="772"/>
      <c r="J5" s="773"/>
    </row>
    <row r="6" spans="1:14" ht="15" x14ac:dyDescent="0.25">
      <c r="A6" s="390">
        <v>1</v>
      </c>
      <c r="B6" s="391" t="s">
        <v>766</v>
      </c>
      <c r="C6" s="392">
        <v>0.54357641299999993</v>
      </c>
      <c r="D6" s="393">
        <v>172880.57737370004</v>
      </c>
      <c r="E6" s="392">
        <v>0.23698671999999998</v>
      </c>
      <c r="F6" s="393">
        <v>73911.879787700003</v>
      </c>
      <c r="G6" s="394">
        <v>0.23213101499999989</v>
      </c>
      <c r="H6" s="395">
        <v>73848.884898400007</v>
      </c>
      <c r="I6" s="396">
        <v>0.31144539799999987</v>
      </c>
      <c r="J6" s="395">
        <v>99031.692475299991</v>
      </c>
      <c r="K6" s="95">
        <f>(J6-H6)/H6*100</f>
        <v>34.100457456529028</v>
      </c>
      <c r="L6" s="95"/>
      <c r="M6" s="95"/>
    </row>
    <row r="7" spans="1:14" ht="15" x14ac:dyDescent="0.25">
      <c r="A7" s="390">
        <v>2</v>
      </c>
      <c r="B7" s="391" t="s">
        <v>767</v>
      </c>
      <c r="C7" s="393">
        <v>30.498794</v>
      </c>
      <c r="D7" s="393">
        <v>113350.01882810003</v>
      </c>
      <c r="E7" s="393">
        <v>12.146267999999996</v>
      </c>
      <c r="F7" s="393">
        <v>48674.107774500008</v>
      </c>
      <c r="G7" s="395">
        <v>14.897137000000003</v>
      </c>
      <c r="H7" s="395">
        <v>55814.12743030001</v>
      </c>
      <c r="I7" s="320">
        <v>15.601656999999998</v>
      </c>
      <c r="J7" s="395">
        <v>57535.891397799998</v>
      </c>
      <c r="K7" s="95">
        <f>(J7-H7)/H7*100</f>
        <v>3.0848174947285627</v>
      </c>
      <c r="L7" s="95"/>
      <c r="M7" s="95"/>
    </row>
    <row r="8" spans="1:14" ht="15" x14ac:dyDescent="0.25">
      <c r="A8" s="390"/>
      <c r="B8" s="397" t="s">
        <v>768</v>
      </c>
      <c r="C8" s="398">
        <f>SUM(C6:C7)</f>
        <v>31.042370413</v>
      </c>
      <c r="D8" s="398">
        <f t="shared" ref="D8:J8" si="0">SUM(D6:D7)</f>
        <v>286230.59620180004</v>
      </c>
      <c r="E8" s="398">
        <f t="shared" si="0"/>
        <v>12.383254719999996</v>
      </c>
      <c r="F8" s="398">
        <f t="shared" si="0"/>
        <v>122585.98756220001</v>
      </c>
      <c r="G8" s="398">
        <f t="shared" si="0"/>
        <v>15.129268015000003</v>
      </c>
      <c r="H8" s="398">
        <f t="shared" si="0"/>
        <v>129663.01232870002</v>
      </c>
      <c r="I8" s="398">
        <f t="shared" si="0"/>
        <v>15.913102397999998</v>
      </c>
      <c r="J8" s="398">
        <f t="shared" si="0"/>
        <v>156567.5838731</v>
      </c>
      <c r="K8" s="95">
        <f>(J8-H8)/H8*100</f>
        <v>20.749611675067367</v>
      </c>
      <c r="L8" s="95"/>
      <c r="M8" s="95"/>
    </row>
    <row r="9" spans="1:14" ht="12.75" customHeight="1" x14ac:dyDescent="0.2">
      <c r="A9" s="399" t="s">
        <v>672</v>
      </c>
      <c r="B9" s="774" t="s">
        <v>769</v>
      </c>
      <c r="C9" s="775"/>
      <c r="D9" s="775"/>
      <c r="E9" s="775"/>
      <c r="F9" s="775"/>
      <c r="G9" s="775"/>
      <c r="H9" s="775"/>
      <c r="I9" s="775"/>
      <c r="J9" s="776"/>
      <c r="K9" s="95"/>
      <c r="L9" s="95"/>
      <c r="M9" s="95"/>
    </row>
    <row r="10" spans="1:14" ht="15" x14ac:dyDescent="0.25">
      <c r="A10" s="390">
        <v>1</v>
      </c>
      <c r="B10" s="391" t="s">
        <v>770</v>
      </c>
      <c r="C10" s="355">
        <v>1530.0980000000002</v>
      </c>
      <c r="D10" s="355">
        <v>21320.130270000001</v>
      </c>
      <c r="E10" s="393">
        <v>2110.8410000000003</v>
      </c>
      <c r="F10" s="393">
        <v>32932.161625000008</v>
      </c>
      <c r="G10" s="355">
        <v>692.32599999999991</v>
      </c>
      <c r="H10" s="355">
        <v>9683.8302150000018</v>
      </c>
      <c r="I10" s="320">
        <v>837.77199999999982</v>
      </c>
      <c r="J10" s="393">
        <v>11636.300054999994</v>
      </c>
      <c r="K10" s="95">
        <f t="shared" ref="K10:K27" si="1">(J10-H10)/H10*100</f>
        <v>20.162165141801715</v>
      </c>
      <c r="L10" s="95"/>
      <c r="M10" s="95"/>
      <c r="N10" s="95"/>
    </row>
    <row r="11" spans="1:14" ht="15" x14ac:dyDescent="0.25">
      <c r="A11" s="390">
        <v>2</v>
      </c>
      <c r="B11" s="391" t="s">
        <v>771</v>
      </c>
      <c r="C11" s="355" t="s">
        <v>281</v>
      </c>
      <c r="D11" s="355" t="s">
        <v>281</v>
      </c>
      <c r="E11" s="393">
        <v>0.51900000000000013</v>
      </c>
      <c r="F11" s="393">
        <v>18.619389999999999</v>
      </c>
      <c r="G11" s="393" t="s">
        <v>281</v>
      </c>
      <c r="H11" s="393" t="s">
        <v>281</v>
      </c>
      <c r="I11" s="393" t="s">
        <v>281</v>
      </c>
      <c r="J11" s="393" t="s">
        <v>281</v>
      </c>
      <c r="K11" s="95"/>
      <c r="L11" s="95"/>
      <c r="M11" s="95"/>
    </row>
    <row r="12" spans="1:14" ht="15" x14ac:dyDescent="0.25">
      <c r="A12" s="390">
        <v>3</v>
      </c>
      <c r="B12" s="391" t="s">
        <v>772</v>
      </c>
      <c r="C12" s="355">
        <v>2121.1</v>
      </c>
      <c r="D12" s="355">
        <v>92403.968861249989</v>
      </c>
      <c r="E12" s="393">
        <v>1141.3962500000002</v>
      </c>
      <c r="F12" s="393">
        <v>52684.55517</v>
      </c>
      <c r="G12" s="355">
        <v>955.16100000000006</v>
      </c>
      <c r="H12" s="355">
        <v>42859.898412499999</v>
      </c>
      <c r="I12" s="320">
        <v>1165.9389999999996</v>
      </c>
      <c r="J12" s="393">
        <v>49544.070448750004</v>
      </c>
      <c r="K12" s="95">
        <f t="shared" si="1"/>
        <v>15.595398691613745</v>
      </c>
      <c r="L12" s="95"/>
      <c r="M12" s="95"/>
      <c r="N12" s="95"/>
    </row>
    <row r="13" spans="1:14" ht="15" x14ac:dyDescent="0.25">
      <c r="A13" s="390">
        <v>4</v>
      </c>
      <c r="B13" s="391" t="s">
        <v>773</v>
      </c>
      <c r="C13" s="355">
        <v>3613.8429999999998</v>
      </c>
      <c r="D13" s="355">
        <v>47942.94286499999</v>
      </c>
      <c r="E13" s="393">
        <v>2360.0409999999997</v>
      </c>
      <c r="F13" s="393">
        <v>38020.623364999999</v>
      </c>
      <c r="G13" s="355">
        <v>1745.6029999999996</v>
      </c>
      <c r="H13" s="355">
        <v>23756.034465000004</v>
      </c>
      <c r="I13" s="320">
        <v>1868.2400000000002</v>
      </c>
      <c r="J13" s="393">
        <v>24186.9084</v>
      </c>
      <c r="K13" s="95">
        <f t="shared" si="1"/>
        <v>1.8137452007607024</v>
      </c>
      <c r="L13" s="96"/>
      <c r="M13" s="96"/>
      <c r="N13" s="96"/>
    </row>
    <row r="14" spans="1:14" ht="15" x14ac:dyDescent="0.25">
      <c r="A14" s="390">
        <v>5</v>
      </c>
      <c r="B14" s="391" t="s">
        <v>774</v>
      </c>
      <c r="C14" s="355">
        <v>510.87264999999996</v>
      </c>
      <c r="D14" s="355">
        <v>44479.462309499999</v>
      </c>
      <c r="E14" s="393">
        <v>281.90584999999987</v>
      </c>
      <c r="F14" s="393">
        <v>27553.169382999993</v>
      </c>
      <c r="G14" s="355">
        <v>256.10084999999998</v>
      </c>
      <c r="H14" s="355">
        <v>22922.506121500002</v>
      </c>
      <c r="I14" s="320">
        <v>254.77179999999996</v>
      </c>
      <c r="J14" s="393">
        <v>21556.956188</v>
      </c>
      <c r="K14" s="95">
        <f t="shared" si="1"/>
        <v>-5.957245365153133</v>
      </c>
      <c r="L14" s="95"/>
      <c r="M14" s="95"/>
      <c r="N14" s="95"/>
    </row>
    <row r="15" spans="1:14" ht="15" x14ac:dyDescent="0.25">
      <c r="A15" s="390">
        <v>6</v>
      </c>
      <c r="B15" s="391" t="s">
        <v>775</v>
      </c>
      <c r="C15" s="355">
        <v>6213.1289999999981</v>
      </c>
      <c r="D15" s="355">
        <v>132492.95682500003</v>
      </c>
      <c r="E15" s="393">
        <v>3055.6620000000003</v>
      </c>
      <c r="F15" s="393">
        <v>63458.519980000019</v>
      </c>
      <c r="G15" s="355">
        <v>3380.6559999999999</v>
      </c>
      <c r="H15" s="355">
        <v>73750.24933999998</v>
      </c>
      <c r="I15" s="320">
        <v>2832.4730000000009</v>
      </c>
      <c r="J15" s="393">
        <v>58742.707485000006</v>
      </c>
      <c r="K15" s="95">
        <f t="shared" si="1"/>
        <v>-20.349140496885511</v>
      </c>
      <c r="L15" s="95"/>
      <c r="M15" s="96"/>
      <c r="N15" s="96"/>
    </row>
    <row r="16" spans="1:14" ht="15" x14ac:dyDescent="0.25">
      <c r="A16" s="390"/>
      <c r="B16" s="397" t="s">
        <v>776</v>
      </c>
      <c r="C16" s="398">
        <f>SUM(C10:C15)</f>
        <v>13989.042649999999</v>
      </c>
      <c r="D16" s="398">
        <f t="shared" ref="D16:J16" si="2">SUM(D10:D15)</f>
        <v>338639.46113075002</v>
      </c>
      <c r="E16" s="398">
        <f t="shared" si="2"/>
        <v>8950.3650999999991</v>
      </c>
      <c r="F16" s="398">
        <f t="shared" si="2"/>
        <v>214667.64891300001</v>
      </c>
      <c r="G16" s="398">
        <f t="shared" si="2"/>
        <v>7029.8468499999999</v>
      </c>
      <c r="H16" s="398">
        <f t="shared" si="2"/>
        <v>172972.51855400001</v>
      </c>
      <c r="I16" s="398">
        <f t="shared" si="2"/>
        <v>6959.1958000000004</v>
      </c>
      <c r="J16" s="398">
        <f t="shared" si="2"/>
        <v>165666.94257675001</v>
      </c>
      <c r="K16" s="95">
        <f t="shared" si="1"/>
        <v>-4.2235472075694416</v>
      </c>
      <c r="L16" s="95"/>
      <c r="M16" s="95"/>
    </row>
    <row r="17" spans="1:13" ht="15" customHeight="1" x14ac:dyDescent="0.2">
      <c r="A17" s="399" t="s">
        <v>685</v>
      </c>
      <c r="B17" s="774" t="s">
        <v>777</v>
      </c>
      <c r="C17" s="775"/>
      <c r="D17" s="775"/>
      <c r="E17" s="775"/>
      <c r="F17" s="775"/>
      <c r="G17" s="775"/>
      <c r="H17" s="775"/>
      <c r="I17" s="775"/>
      <c r="J17" s="776"/>
      <c r="K17" s="95"/>
      <c r="L17" s="95"/>
      <c r="M17" s="95"/>
    </row>
    <row r="18" spans="1:13" ht="15" x14ac:dyDescent="0.25">
      <c r="A18" s="390">
        <v>1</v>
      </c>
      <c r="B18" s="391" t="s">
        <v>778</v>
      </c>
      <c r="C18" s="400">
        <v>0.20699999999999996</v>
      </c>
      <c r="D18" s="355">
        <v>41.160137999999996</v>
      </c>
      <c r="E18" s="392">
        <v>0.15440000000000004</v>
      </c>
      <c r="F18" s="393">
        <v>14.126505</v>
      </c>
      <c r="G18" s="400">
        <v>8.4099999999999994E-2</v>
      </c>
      <c r="H18" s="355">
        <v>14.506960999999999</v>
      </c>
      <c r="I18" s="401">
        <v>0.1229</v>
      </c>
      <c r="J18" s="393">
        <v>26.653176999999999</v>
      </c>
      <c r="K18" s="95">
        <f t="shared" si="1"/>
        <v>83.726812252407669</v>
      </c>
      <c r="L18" s="95"/>
      <c r="M18" s="95"/>
    </row>
    <row r="19" spans="1:13" ht="15" x14ac:dyDescent="0.25">
      <c r="A19" s="390">
        <v>2</v>
      </c>
      <c r="B19" s="391" t="s">
        <v>779</v>
      </c>
      <c r="C19" s="355">
        <v>1243.5839999999998</v>
      </c>
      <c r="D19" s="355">
        <v>16052.017550000004</v>
      </c>
      <c r="E19" s="393">
        <v>323.79475000000002</v>
      </c>
      <c r="F19" s="393">
        <v>4061.4579999999996</v>
      </c>
      <c r="G19" s="355">
        <v>594.14575000000013</v>
      </c>
      <c r="H19" s="355">
        <v>7785.2231499999998</v>
      </c>
      <c r="I19" s="320">
        <v>649.43825000000004</v>
      </c>
      <c r="J19" s="393">
        <v>8266.7944000000007</v>
      </c>
      <c r="K19" s="95">
        <f t="shared" si="1"/>
        <v>6.1857090120788749</v>
      </c>
      <c r="L19" s="95"/>
      <c r="M19" s="95"/>
    </row>
    <row r="20" spans="1:13" ht="15" x14ac:dyDescent="0.25">
      <c r="A20" s="390">
        <v>3</v>
      </c>
      <c r="B20" s="391" t="s">
        <v>780</v>
      </c>
      <c r="C20" s="355">
        <v>800.21</v>
      </c>
      <c r="D20" s="355">
        <v>4247.9022800000002</v>
      </c>
      <c r="E20" s="393">
        <v>523.52999999999986</v>
      </c>
      <c r="F20" s="393">
        <v>3433.8605000000007</v>
      </c>
      <c r="G20" s="355">
        <v>391.08000000000004</v>
      </c>
      <c r="H20" s="355">
        <v>2119.0546399999998</v>
      </c>
      <c r="I20" s="320">
        <v>409.13</v>
      </c>
      <c r="J20" s="393">
        <v>2128.84764</v>
      </c>
      <c r="K20" s="95">
        <f t="shared" si="1"/>
        <v>0.4621400418443255</v>
      </c>
      <c r="L20" s="95"/>
      <c r="M20" s="95"/>
    </row>
    <row r="21" spans="1:13" ht="12" customHeight="1" x14ac:dyDescent="0.25">
      <c r="A21" s="390">
        <v>4</v>
      </c>
      <c r="B21" s="391" t="s">
        <v>781</v>
      </c>
      <c r="C21" s="355">
        <v>12.274560000000001</v>
      </c>
      <c r="D21" s="355">
        <v>1720.2897612000002</v>
      </c>
      <c r="E21" s="393">
        <v>9.0165600000000001</v>
      </c>
      <c r="F21" s="393">
        <v>1111.5781847999999</v>
      </c>
      <c r="G21" s="355">
        <v>6.0782400000000001</v>
      </c>
      <c r="H21" s="355">
        <v>886.93573319999985</v>
      </c>
      <c r="I21" s="320">
        <v>6.1963200000000001</v>
      </c>
      <c r="J21" s="393">
        <v>833.35402799999986</v>
      </c>
      <c r="K21" s="95">
        <f t="shared" si="1"/>
        <v>-6.0412162002630199</v>
      </c>
      <c r="L21" s="95"/>
      <c r="M21" s="95"/>
    </row>
    <row r="22" spans="1:13" ht="13.5" customHeight="1" x14ac:dyDescent="0.25">
      <c r="A22" s="390"/>
      <c r="B22" s="397" t="s">
        <v>782</v>
      </c>
      <c r="C22" s="398">
        <f t="shared" ref="C22:J22" si="3">SUM(C18:C21)</f>
        <v>2056.27556</v>
      </c>
      <c r="D22" s="398">
        <f t="shared" si="3"/>
        <v>22061.369729200007</v>
      </c>
      <c r="E22" s="398">
        <f t="shared" si="3"/>
        <v>856.49570999999992</v>
      </c>
      <c r="F22" s="398">
        <f t="shared" si="3"/>
        <v>8621.0231898000002</v>
      </c>
      <c r="G22" s="398">
        <f t="shared" si="3"/>
        <v>991.38809000000026</v>
      </c>
      <c r="H22" s="398">
        <f t="shared" si="3"/>
        <v>10805.720484199999</v>
      </c>
      <c r="I22" s="398">
        <f t="shared" si="3"/>
        <v>1064.8874700000001</v>
      </c>
      <c r="J22" s="398">
        <f t="shared" si="3"/>
        <v>11255.649245000001</v>
      </c>
      <c r="K22" s="95">
        <f t="shared" si="1"/>
        <v>4.1638015850759977</v>
      </c>
      <c r="L22" s="95"/>
      <c r="M22" s="95"/>
    </row>
    <row r="23" spans="1:13" ht="15" x14ac:dyDescent="0.2">
      <c r="A23" s="399" t="s">
        <v>783</v>
      </c>
      <c r="B23" s="774" t="s">
        <v>714</v>
      </c>
      <c r="C23" s="775"/>
      <c r="D23" s="775"/>
      <c r="E23" s="775"/>
      <c r="F23" s="775"/>
      <c r="G23" s="775"/>
      <c r="H23" s="775"/>
      <c r="I23" s="775"/>
      <c r="J23" s="776"/>
      <c r="K23" s="95"/>
      <c r="L23" s="95" t="s">
        <v>704</v>
      </c>
      <c r="M23" s="95"/>
    </row>
    <row r="24" spans="1:13" ht="15" x14ac:dyDescent="0.25">
      <c r="A24" s="390">
        <v>1</v>
      </c>
      <c r="B24" s="391" t="s">
        <v>784</v>
      </c>
      <c r="C24" s="355">
        <v>151182.52470237849</v>
      </c>
      <c r="D24" s="355">
        <v>479541.81394900009</v>
      </c>
      <c r="E24" s="393">
        <v>46250.697805696502</v>
      </c>
      <c r="F24" s="393">
        <v>159791.33249799997</v>
      </c>
      <c r="G24" s="355">
        <v>62102.356971425492</v>
      </c>
      <c r="H24" s="355">
        <v>202058.65768500004</v>
      </c>
      <c r="I24" s="320">
        <v>89080.167730953006</v>
      </c>
      <c r="J24" s="393">
        <v>277483.15626399993</v>
      </c>
      <c r="K24" s="95">
        <f t="shared" si="1"/>
        <v>37.328021200944107</v>
      </c>
      <c r="L24" s="95"/>
      <c r="M24" s="95"/>
    </row>
    <row r="25" spans="1:13" ht="30" x14ac:dyDescent="0.2">
      <c r="A25" s="390">
        <v>2</v>
      </c>
      <c r="B25" s="391" t="s">
        <v>785</v>
      </c>
      <c r="C25" s="402">
        <v>1508.68</v>
      </c>
      <c r="D25" s="402">
        <v>27433.402675000001</v>
      </c>
      <c r="E25" s="403">
        <v>895.30124999999998</v>
      </c>
      <c r="F25" s="403">
        <v>17218.371837500003</v>
      </c>
      <c r="G25" s="402">
        <v>638.53125</v>
      </c>
      <c r="H25" s="402">
        <v>11613.1554375</v>
      </c>
      <c r="I25" s="404">
        <v>870.14874999999995</v>
      </c>
      <c r="J25" s="403">
        <v>15820.2472375</v>
      </c>
      <c r="K25" s="95">
        <f t="shared" si="1"/>
        <v>36.226948159282315</v>
      </c>
      <c r="L25" s="95"/>
      <c r="M25" s="95"/>
    </row>
    <row r="26" spans="1:13" ht="15" x14ac:dyDescent="0.2">
      <c r="A26" s="399"/>
      <c r="B26" s="397" t="s">
        <v>786</v>
      </c>
      <c r="C26" s="362">
        <f>C24</f>
        <v>151182.52470237849</v>
      </c>
      <c r="D26" s="362">
        <f>SUM(D24:D25)</f>
        <v>506975.21662400011</v>
      </c>
      <c r="E26" s="362">
        <f>E24</f>
        <v>46250.697805696502</v>
      </c>
      <c r="F26" s="362">
        <f>SUM(F24:F25)</f>
        <v>177009.70433549996</v>
      </c>
      <c r="G26" s="362">
        <f>G24</f>
        <v>62102.356971425492</v>
      </c>
      <c r="H26" s="362">
        <f>SUM(H24:H25)</f>
        <v>213671.81312250005</v>
      </c>
      <c r="I26" s="362">
        <f>I24</f>
        <v>89080.167730953006</v>
      </c>
      <c r="J26" s="362">
        <f>SUM(J24:J25)</f>
        <v>293303.40350149991</v>
      </c>
      <c r="K26" s="95" t="s">
        <v>704</v>
      </c>
      <c r="L26" s="95"/>
      <c r="M26" s="95"/>
    </row>
    <row r="27" spans="1:13" ht="15" customHeight="1" x14ac:dyDescent="0.2">
      <c r="A27" s="777" t="s">
        <v>787</v>
      </c>
      <c r="B27" s="777"/>
      <c r="C27" s="362">
        <f>C26+C22+C16+C8</f>
        <v>167258.88528279148</v>
      </c>
      <c r="D27" s="362">
        <f>D26+D22+D16+D8</f>
        <v>1153906.6436857502</v>
      </c>
      <c r="E27" s="362">
        <f>E26+E22+E16+E8</f>
        <v>56069.9418704165</v>
      </c>
      <c r="F27" s="362">
        <f>F26+F22+F16+F8</f>
        <v>522884.36400050001</v>
      </c>
      <c r="G27" s="362">
        <f>SUM(G8+G16+G22+G26)</f>
        <v>70138.721179440487</v>
      </c>
      <c r="H27" s="362">
        <f>H26+H22+H16+H8</f>
        <v>527113.06448940013</v>
      </c>
      <c r="I27" s="362">
        <f>I26+I22+I16+I8</f>
        <v>97120.16410335101</v>
      </c>
      <c r="J27" s="362">
        <f>J26+J22+J16+J8</f>
        <v>626793.57919634995</v>
      </c>
      <c r="K27" s="95">
        <f t="shared" si="1"/>
        <v>18.910651513353702</v>
      </c>
    </row>
    <row r="28" spans="1:13" ht="15" customHeight="1" x14ac:dyDescent="0.2">
      <c r="A28" s="770" t="s">
        <v>692</v>
      </c>
      <c r="B28" s="770"/>
      <c r="C28" s="770"/>
      <c r="D28" s="770"/>
      <c r="E28" s="770"/>
      <c r="F28" s="770"/>
      <c r="G28" s="770"/>
      <c r="H28" s="770"/>
      <c r="I28" s="770"/>
      <c r="J28" s="770"/>
      <c r="K28" s="94" t="s">
        <v>704</v>
      </c>
    </row>
    <row r="29" spans="1:13" ht="15" customHeight="1" x14ac:dyDescent="0.2">
      <c r="A29" s="405" t="s">
        <v>788</v>
      </c>
      <c r="B29" s="771" t="s">
        <v>713</v>
      </c>
      <c r="C29" s="772"/>
      <c r="D29" s="772"/>
      <c r="E29" s="772"/>
      <c r="F29" s="772"/>
      <c r="G29" s="772"/>
      <c r="H29" s="772"/>
      <c r="I29" s="772"/>
      <c r="J29" s="773"/>
      <c r="L29" s="94" t="s">
        <v>704</v>
      </c>
    </row>
    <row r="30" spans="1:13" ht="15" customHeight="1" x14ac:dyDescent="0.25">
      <c r="A30" s="406">
        <v>1</v>
      </c>
      <c r="B30" s="407" t="s">
        <v>766</v>
      </c>
      <c r="C30" s="400">
        <v>3.4997000000000007E-2</v>
      </c>
      <c r="D30" s="355">
        <v>11226.333429999997</v>
      </c>
      <c r="E30" s="408">
        <v>4.7362000000000001E-2</v>
      </c>
      <c r="F30" s="409">
        <v>14859.205199999999</v>
      </c>
      <c r="G30" s="400">
        <v>8.2609999999999992E-3</v>
      </c>
      <c r="H30" s="355">
        <v>2660.1477900000004</v>
      </c>
      <c r="I30" s="400">
        <v>2.6735999999999999E-2</v>
      </c>
      <c r="J30" s="355">
        <v>8566.1856399999997</v>
      </c>
      <c r="K30" s="95">
        <f>(J30-H30)/H30*100</f>
        <v>222.01916270223458</v>
      </c>
    </row>
    <row r="31" spans="1:13" ht="15" customHeight="1" x14ac:dyDescent="0.25">
      <c r="A31" s="406">
        <v>2</v>
      </c>
      <c r="B31" s="407" t="s">
        <v>767</v>
      </c>
      <c r="C31" s="400">
        <v>0.47732999999999992</v>
      </c>
      <c r="D31" s="355">
        <v>1823.4339930000001</v>
      </c>
      <c r="E31" s="408">
        <v>4.6680000000000006E-2</v>
      </c>
      <c r="F31" s="393">
        <v>191.40232499999999</v>
      </c>
      <c r="G31" s="408">
        <v>0.29493000000000003</v>
      </c>
      <c r="H31" s="409">
        <v>1133.8833479999996</v>
      </c>
      <c r="I31" s="400">
        <v>0.18240000000000001</v>
      </c>
      <c r="J31" s="355">
        <v>689.55064500000026</v>
      </c>
      <c r="K31" s="95">
        <f t="shared" ref="K31:K39" si="4">(J31-H31)/H31*100</f>
        <v>-39.18680910022497</v>
      </c>
    </row>
    <row r="32" spans="1:13" ht="15" customHeight="1" x14ac:dyDescent="0.2">
      <c r="A32" s="410"/>
      <c r="B32" s="411" t="s">
        <v>789</v>
      </c>
      <c r="C32" s="412">
        <f>SUM(C30:C31)</f>
        <v>0.51232699999999998</v>
      </c>
      <c r="D32" s="362">
        <f t="shared" ref="D32:J32" si="5">SUM(D30:D31)</f>
        <v>13049.767422999998</v>
      </c>
      <c r="E32" s="412">
        <f t="shared" si="5"/>
        <v>9.4042000000000014E-2</v>
      </c>
      <c r="F32" s="362">
        <f t="shared" si="5"/>
        <v>15050.607524999998</v>
      </c>
      <c r="G32" s="412">
        <f t="shared" si="5"/>
        <v>0.30319100000000004</v>
      </c>
      <c r="H32" s="362">
        <f t="shared" si="5"/>
        <v>3794.0311380000003</v>
      </c>
      <c r="I32" s="412">
        <f t="shared" si="5"/>
        <v>0.20913600000000002</v>
      </c>
      <c r="J32" s="362">
        <f t="shared" si="5"/>
        <v>9255.736284999999</v>
      </c>
      <c r="K32" s="95">
        <f t="shared" si="4"/>
        <v>143.95520090220194</v>
      </c>
    </row>
    <row r="33" spans="1:11" ht="15" customHeight="1" x14ac:dyDescent="0.2">
      <c r="A33" s="410" t="s">
        <v>790</v>
      </c>
      <c r="B33" s="778" t="s">
        <v>791</v>
      </c>
      <c r="C33" s="779"/>
      <c r="D33" s="779"/>
      <c r="E33" s="779"/>
      <c r="F33" s="779"/>
      <c r="G33" s="779"/>
      <c r="H33" s="779"/>
      <c r="I33" s="779"/>
      <c r="J33" s="780"/>
      <c r="K33" s="95"/>
    </row>
    <row r="34" spans="1:11" ht="15" customHeight="1" x14ac:dyDescent="0.25">
      <c r="A34" s="406">
        <v>1</v>
      </c>
      <c r="B34" s="413" t="s">
        <v>772</v>
      </c>
      <c r="C34" s="355">
        <v>10.438999999999998</v>
      </c>
      <c r="D34" s="400">
        <v>467.56124900000003</v>
      </c>
      <c r="E34" s="414">
        <v>6.3520000000000012</v>
      </c>
      <c r="F34" s="414">
        <v>300.70241600000003</v>
      </c>
      <c r="G34" s="409">
        <v>5.851</v>
      </c>
      <c r="H34" s="409">
        <v>265.17124899999999</v>
      </c>
      <c r="I34" s="355">
        <v>4.588000000000001</v>
      </c>
      <c r="J34" s="355">
        <v>202.39000000000004</v>
      </c>
      <c r="K34" s="95">
        <f t="shared" si="4"/>
        <v>-23.675737560824306</v>
      </c>
    </row>
    <row r="35" spans="1:11" ht="15" customHeight="1" x14ac:dyDescent="0.25">
      <c r="A35" s="406">
        <v>2</v>
      </c>
      <c r="B35" s="413" t="s">
        <v>775</v>
      </c>
      <c r="C35" s="355">
        <v>30.984999999999999</v>
      </c>
      <c r="D35" s="400">
        <v>691.06099999999981</v>
      </c>
      <c r="E35" s="414">
        <v>0</v>
      </c>
      <c r="F35" s="415">
        <v>0</v>
      </c>
      <c r="G35" s="409">
        <v>21.310000000000002</v>
      </c>
      <c r="H35" s="409">
        <v>477.59880500000003</v>
      </c>
      <c r="I35" s="355">
        <v>9.6750000000000025</v>
      </c>
      <c r="J35" s="355">
        <v>213.46219500000001</v>
      </c>
      <c r="K35" s="95">
        <f t="shared" si="4"/>
        <v>-55.305123721990888</v>
      </c>
    </row>
    <row r="36" spans="1:11" ht="15" customHeight="1" x14ac:dyDescent="0.25">
      <c r="A36" s="406"/>
      <c r="B36" s="411" t="s">
        <v>792</v>
      </c>
      <c r="C36" s="362">
        <f t="shared" ref="C36:J36" si="6">SUM(C34:C35)</f>
        <v>41.423999999999999</v>
      </c>
      <c r="D36" s="362">
        <f t="shared" si="6"/>
        <v>1158.6222489999998</v>
      </c>
      <c r="E36" s="414">
        <f t="shared" si="6"/>
        <v>6.3520000000000012</v>
      </c>
      <c r="F36" s="414">
        <f t="shared" si="6"/>
        <v>300.70241600000003</v>
      </c>
      <c r="G36" s="416">
        <f t="shared" si="6"/>
        <v>27.161000000000001</v>
      </c>
      <c r="H36" s="416">
        <f t="shared" si="6"/>
        <v>742.77005400000007</v>
      </c>
      <c r="I36" s="362">
        <f t="shared" si="6"/>
        <v>14.263000000000003</v>
      </c>
      <c r="J36" s="362">
        <f t="shared" si="6"/>
        <v>415.85219500000005</v>
      </c>
      <c r="K36" s="95">
        <f t="shared" si="4"/>
        <v>-44.013333230044296</v>
      </c>
    </row>
    <row r="37" spans="1:11" ht="15" customHeight="1" x14ac:dyDescent="0.2">
      <c r="A37" s="410" t="s">
        <v>793</v>
      </c>
      <c r="B37" s="778" t="s">
        <v>714</v>
      </c>
      <c r="C37" s="779"/>
      <c r="D37" s="779"/>
      <c r="E37" s="779"/>
      <c r="F37" s="779"/>
      <c r="G37" s="779"/>
      <c r="H37" s="779"/>
      <c r="I37" s="779"/>
      <c r="J37" s="780"/>
      <c r="K37" s="95"/>
    </row>
    <row r="38" spans="1:11" ht="15" customHeight="1" x14ac:dyDescent="0.25">
      <c r="A38" s="406">
        <v>1</v>
      </c>
      <c r="B38" s="413" t="s">
        <v>784</v>
      </c>
      <c r="C38" s="355">
        <v>3523.7653989800006</v>
      </c>
      <c r="D38" s="355">
        <v>11338.709687</v>
      </c>
      <c r="E38" s="393">
        <v>426.67122037499996</v>
      </c>
      <c r="F38" s="393">
        <v>1519.0102850000001</v>
      </c>
      <c r="G38" s="409">
        <v>1272.7148888500001</v>
      </c>
      <c r="H38" s="409">
        <v>4148.4456880000007</v>
      </c>
      <c r="I38" s="355">
        <v>2251.0505101300005</v>
      </c>
      <c r="J38" s="355">
        <v>7190.2639989999989</v>
      </c>
      <c r="K38" s="95">
        <f t="shared" si="4"/>
        <v>73.324289137951411</v>
      </c>
    </row>
    <row r="39" spans="1:11" ht="15" customHeight="1" x14ac:dyDescent="0.2">
      <c r="A39" s="781" t="s">
        <v>794</v>
      </c>
      <c r="B39" s="781"/>
      <c r="C39" s="362">
        <f t="shared" ref="C39:J39" si="7">SUM(C32+C36+C38)</f>
        <v>3565.7017259800004</v>
      </c>
      <c r="D39" s="362">
        <f>SUM(D32+D36+D38)</f>
        <v>25547.099359</v>
      </c>
      <c r="E39" s="362">
        <f>SUM(E32+E36+E38)</f>
        <v>433.11726237499994</v>
      </c>
      <c r="F39" s="362">
        <f>SUM(F32+F36+F38)</f>
        <v>16870.320225999996</v>
      </c>
      <c r="G39" s="362">
        <f t="shared" si="7"/>
        <v>1300.1790798500001</v>
      </c>
      <c r="H39" s="362">
        <f t="shared" si="7"/>
        <v>8685.2468800000024</v>
      </c>
      <c r="I39" s="362">
        <f t="shared" si="7"/>
        <v>2265.5226461300003</v>
      </c>
      <c r="J39" s="362">
        <f t="shared" si="7"/>
        <v>16861.852478999997</v>
      </c>
      <c r="K39" s="95">
        <f t="shared" si="4"/>
        <v>94.143617469627898</v>
      </c>
    </row>
    <row r="40" spans="1:11" ht="15" x14ac:dyDescent="0.2">
      <c r="A40" s="419" t="str">
        <f>'[1]66'!A8</f>
        <v>$ indicates as on May 31, 2019</v>
      </c>
      <c r="B40" s="420"/>
      <c r="C40" s="421"/>
      <c r="D40" s="421"/>
      <c r="E40" s="421"/>
      <c r="F40" s="421"/>
      <c r="G40" s="421"/>
      <c r="H40" s="421"/>
      <c r="I40" s="421"/>
      <c r="J40" s="418"/>
    </row>
    <row r="41" spans="1:11" ht="15" x14ac:dyDescent="0.25">
      <c r="A41" s="421" t="s">
        <v>795</v>
      </c>
      <c r="B41" s="421"/>
      <c r="C41" s="421"/>
      <c r="D41" s="421"/>
      <c r="E41" s="421"/>
      <c r="F41" s="421"/>
      <c r="G41" s="421"/>
      <c r="H41" s="421"/>
      <c r="I41" s="421"/>
      <c r="J41" s="417"/>
    </row>
    <row r="42" spans="1:11" ht="15" x14ac:dyDescent="0.25">
      <c r="A42" s="421" t="s">
        <v>796</v>
      </c>
      <c r="B42" s="421"/>
      <c r="C42" s="421"/>
      <c r="D42" s="421"/>
      <c r="E42" s="421"/>
      <c r="F42" s="421" t="s">
        <v>704</v>
      </c>
      <c r="G42" s="422"/>
      <c r="H42" s="421"/>
      <c r="I42" s="421"/>
      <c r="J42" s="417"/>
    </row>
    <row r="43" spans="1:11" ht="15" x14ac:dyDescent="0.25">
      <c r="A43" s="769" t="s">
        <v>797</v>
      </c>
      <c r="B43" s="769"/>
      <c r="C43" s="769"/>
      <c r="D43" s="769"/>
      <c r="E43" s="769"/>
      <c r="F43" s="769"/>
      <c r="G43" s="769"/>
      <c r="H43" s="769"/>
      <c r="I43" s="769"/>
      <c r="J43" s="417"/>
    </row>
    <row r="44" spans="1:11" x14ac:dyDescent="0.2">
      <c r="A44" s="263" t="s">
        <v>798</v>
      </c>
      <c r="B44" s="421"/>
      <c r="C44" s="421"/>
      <c r="D44" s="421"/>
      <c r="E44" s="423"/>
      <c r="F44" s="423"/>
      <c r="G44" s="421"/>
      <c r="H44" s="421"/>
      <c r="I44" s="424"/>
      <c r="J44" s="273"/>
    </row>
    <row r="45" spans="1:11" x14ac:dyDescent="0.2">
      <c r="C45" s="97"/>
      <c r="D45" s="97"/>
      <c r="E45" s="97"/>
      <c r="F45" s="94"/>
      <c r="G45" s="97"/>
      <c r="H45" s="97"/>
      <c r="I45" s="97"/>
      <c r="J45" s="97"/>
    </row>
    <row r="46" spans="1:11" x14ac:dyDescent="0.2">
      <c r="E46" s="98"/>
      <c r="F46" s="98"/>
      <c r="I46" s="94"/>
      <c r="J46" s="94"/>
    </row>
    <row r="47" spans="1:11" x14ac:dyDescent="0.2">
      <c r="E47" s="98"/>
      <c r="F47" s="98"/>
      <c r="I47" s="94"/>
      <c r="J47" s="94"/>
    </row>
    <row r="48" spans="1:11" x14ac:dyDescent="0.2">
      <c r="E48" s="98"/>
      <c r="F48" s="98"/>
      <c r="I48" s="94"/>
      <c r="J48" s="94"/>
    </row>
    <row r="49" spans="5:10" x14ac:dyDescent="0.2">
      <c r="E49" s="98"/>
      <c r="F49" s="98"/>
      <c r="H49" s="99"/>
      <c r="I49" s="94"/>
      <c r="J49" s="94"/>
    </row>
    <row r="50" spans="5:10" x14ac:dyDescent="0.2">
      <c r="E50" s="98"/>
      <c r="F50" s="98"/>
      <c r="I50" s="94"/>
      <c r="J50" s="94"/>
    </row>
    <row r="51" spans="5:10" x14ac:dyDescent="0.2">
      <c r="E51" s="98"/>
      <c r="F51" s="98"/>
      <c r="I51" s="94"/>
      <c r="J51" s="94"/>
    </row>
    <row r="52" spans="5:10" x14ac:dyDescent="0.2">
      <c r="E52" s="98"/>
      <c r="F52" s="98"/>
      <c r="I52" s="100"/>
      <c r="J52" s="98"/>
    </row>
    <row r="53" spans="5:10" x14ac:dyDescent="0.2">
      <c r="E53" s="98"/>
      <c r="F53" s="98"/>
      <c r="I53" s="100"/>
      <c r="J53" s="98"/>
    </row>
    <row r="54" spans="5:10" x14ac:dyDescent="0.2">
      <c r="E54" s="98"/>
      <c r="F54" s="98"/>
      <c r="I54" s="100"/>
      <c r="J54" s="98"/>
    </row>
    <row r="55" spans="5:10" x14ac:dyDescent="0.2">
      <c r="E55" s="98"/>
      <c r="F55" s="98"/>
      <c r="I55" s="100"/>
      <c r="J55" s="98"/>
    </row>
    <row r="56" spans="5:10" x14ac:dyDescent="0.2">
      <c r="E56" s="98"/>
      <c r="F56" s="98"/>
      <c r="I56" s="100"/>
      <c r="J56" s="98"/>
    </row>
    <row r="57" spans="5:10" x14ac:dyDescent="0.2">
      <c r="E57" s="98"/>
      <c r="F57" s="98"/>
      <c r="I57" s="100"/>
      <c r="J57" s="98"/>
    </row>
    <row r="58" spans="5:10" x14ac:dyDescent="0.2">
      <c r="E58" s="98"/>
      <c r="F58" s="98"/>
      <c r="I58" s="100"/>
      <c r="J58" s="98"/>
    </row>
    <row r="59" spans="5:10" x14ac:dyDescent="0.2">
      <c r="E59" s="98"/>
      <c r="F59" s="98"/>
      <c r="I59" s="100"/>
      <c r="J59" s="98"/>
    </row>
    <row r="60" spans="5:10" x14ac:dyDescent="0.2">
      <c r="E60" s="98"/>
      <c r="F60" s="98"/>
      <c r="I60" s="98"/>
      <c r="J60" s="98"/>
    </row>
    <row r="61" spans="5:10" x14ac:dyDescent="0.2">
      <c r="E61" s="98"/>
      <c r="F61" s="98"/>
      <c r="I61" s="98"/>
      <c r="J61" s="98"/>
    </row>
    <row r="62" spans="5:10" x14ac:dyDescent="0.2">
      <c r="E62" s="98"/>
      <c r="F62" s="98"/>
      <c r="I62" s="98"/>
      <c r="J62" s="98"/>
    </row>
    <row r="63" spans="5:10" x14ac:dyDescent="0.2">
      <c r="E63" s="98"/>
      <c r="F63" s="98"/>
      <c r="I63" s="98"/>
      <c r="J63" s="98"/>
    </row>
    <row r="64" spans="5:10" x14ac:dyDescent="0.2">
      <c r="E64" s="98"/>
      <c r="F64" s="98"/>
      <c r="I64" s="98"/>
      <c r="J64" s="98"/>
    </row>
    <row r="65" spans="5:10" x14ac:dyDescent="0.2">
      <c r="E65" s="98"/>
      <c r="F65" s="98"/>
      <c r="I65" s="98"/>
      <c r="J65" s="98"/>
    </row>
    <row r="66" spans="5:10" x14ac:dyDescent="0.2">
      <c r="E66" s="98"/>
      <c r="F66" s="98"/>
      <c r="I66" s="98"/>
      <c r="J66" s="98"/>
    </row>
    <row r="67" spans="5:10" x14ac:dyDescent="0.2">
      <c r="E67" s="98"/>
      <c r="F67" s="98"/>
      <c r="I67" s="98"/>
      <c r="J67" s="98"/>
    </row>
    <row r="68" spans="5:10" x14ac:dyDescent="0.2">
      <c r="E68" s="98"/>
      <c r="F68" s="98"/>
      <c r="I68" s="98"/>
      <c r="J68" s="98"/>
    </row>
    <row r="69" spans="5:10" x14ac:dyDescent="0.2">
      <c r="E69" s="98"/>
      <c r="F69" s="98"/>
      <c r="I69" s="98"/>
      <c r="J69" s="98"/>
    </row>
    <row r="70" spans="5:10" x14ac:dyDescent="0.2">
      <c r="E70" s="98"/>
      <c r="F70" s="98"/>
      <c r="I70" s="98"/>
      <c r="J70" s="98"/>
    </row>
    <row r="71" spans="5:10" x14ac:dyDescent="0.2">
      <c r="E71" s="98"/>
      <c r="F71" s="98"/>
      <c r="I71" s="98"/>
      <c r="J71" s="98"/>
    </row>
    <row r="72" spans="5:10" x14ac:dyDescent="0.2">
      <c r="E72" s="98"/>
      <c r="F72" s="98"/>
      <c r="I72" s="98"/>
      <c r="J72" s="98"/>
    </row>
    <row r="73" spans="5:10" x14ac:dyDescent="0.2">
      <c r="E73" s="98"/>
      <c r="F73" s="98"/>
      <c r="I73" s="98"/>
      <c r="J73" s="98"/>
    </row>
    <row r="74" spans="5:10" x14ac:dyDescent="0.2">
      <c r="E74" s="98"/>
      <c r="F74" s="98"/>
      <c r="I74" s="98"/>
      <c r="J74" s="98"/>
    </row>
    <row r="75" spans="5:10" x14ac:dyDescent="0.2">
      <c r="E75" s="98"/>
      <c r="F75" s="98"/>
      <c r="I75" s="98"/>
      <c r="J75" s="98"/>
    </row>
    <row r="76" spans="5:10" x14ac:dyDescent="0.2">
      <c r="E76" s="98"/>
      <c r="F76" s="98"/>
      <c r="I76" s="98"/>
      <c r="J76" s="98"/>
    </row>
    <row r="77" spans="5:10" x14ac:dyDescent="0.2">
      <c r="E77" s="98"/>
      <c r="F77" s="98"/>
      <c r="I77" s="98"/>
      <c r="J77" s="98"/>
    </row>
    <row r="78" spans="5:10" x14ac:dyDescent="0.2">
      <c r="E78" s="98"/>
      <c r="F78" s="98"/>
      <c r="I78" s="98"/>
      <c r="J78" s="98"/>
    </row>
    <row r="79" spans="5:10" x14ac:dyDescent="0.2">
      <c r="E79" s="98"/>
      <c r="F79" s="98"/>
      <c r="I79" s="98"/>
      <c r="J79" s="98"/>
    </row>
    <row r="80" spans="5:10" x14ac:dyDescent="0.2">
      <c r="E80" s="98"/>
      <c r="F80" s="98"/>
      <c r="I80" s="98"/>
      <c r="J80" s="98"/>
    </row>
    <row r="81" spans="5:10" x14ac:dyDescent="0.2">
      <c r="E81" s="98"/>
      <c r="F81" s="98"/>
      <c r="I81" s="98"/>
      <c r="J81" s="98"/>
    </row>
    <row r="82" spans="5:10" x14ac:dyDescent="0.2">
      <c r="E82" s="98"/>
      <c r="F82" s="98"/>
      <c r="I82" s="98"/>
      <c r="J82" s="98"/>
    </row>
    <row r="83" spans="5:10" x14ac:dyDescent="0.2">
      <c r="E83" s="98"/>
      <c r="F83" s="98"/>
      <c r="I83" s="98"/>
      <c r="J83" s="98"/>
    </row>
    <row r="84" spans="5:10" x14ac:dyDescent="0.2">
      <c r="E84" s="98"/>
      <c r="F84" s="98"/>
      <c r="I84" s="98"/>
      <c r="J84" s="98"/>
    </row>
    <row r="85" spans="5:10" x14ac:dyDescent="0.2">
      <c r="E85" s="98"/>
      <c r="F85" s="98"/>
      <c r="I85" s="98"/>
      <c r="J85" s="98"/>
    </row>
    <row r="86" spans="5:10" x14ac:dyDescent="0.2">
      <c r="E86" s="98"/>
      <c r="F86" s="98"/>
      <c r="I86" s="98"/>
      <c r="J86" s="98"/>
    </row>
    <row r="87" spans="5:10" x14ac:dyDescent="0.2">
      <c r="E87" s="98"/>
      <c r="F87" s="98"/>
      <c r="I87" s="98"/>
      <c r="J87" s="98"/>
    </row>
    <row r="88" spans="5:10" x14ac:dyDescent="0.2">
      <c r="E88" s="98"/>
      <c r="F88" s="98"/>
      <c r="I88" s="98"/>
      <c r="J88" s="98"/>
    </row>
    <row r="89" spans="5:10" x14ac:dyDescent="0.2">
      <c r="E89" s="98"/>
      <c r="F89" s="98"/>
      <c r="I89" s="98"/>
      <c r="J89" s="98"/>
    </row>
    <row r="90" spans="5:10" x14ac:dyDescent="0.2">
      <c r="E90" s="98"/>
      <c r="F90" s="98"/>
      <c r="I90" s="98"/>
      <c r="J90" s="98"/>
    </row>
    <row r="91" spans="5:10" x14ac:dyDescent="0.2">
      <c r="E91" s="98"/>
      <c r="F91" s="98"/>
      <c r="I91" s="98"/>
      <c r="J91" s="98"/>
    </row>
    <row r="92" spans="5:10" x14ac:dyDescent="0.2">
      <c r="E92" s="98"/>
      <c r="F92" s="98"/>
      <c r="I92" s="98"/>
      <c r="J92" s="98"/>
    </row>
    <row r="93" spans="5:10" x14ac:dyDescent="0.2">
      <c r="E93" s="98"/>
      <c r="F93" s="98"/>
      <c r="I93" s="98"/>
      <c r="J93" s="98"/>
    </row>
    <row r="94" spans="5:10" x14ac:dyDescent="0.2">
      <c r="E94" s="98"/>
      <c r="F94" s="98"/>
      <c r="I94" s="98"/>
      <c r="J94" s="98"/>
    </row>
    <row r="95" spans="5:10" x14ac:dyDescent="0.2">
      <c r="E95" s="98"/>
      <c r="F95" s="98"/>
      <c r="I95" s="98"/>
      <c r="J95" s="98"/>
    </row>
    <row r="96" spans="5:10" x14ac:dyDescent="0.2">
      <c r="E96" s="98"/>
      <c r="F96" s="98"/>
      <c r="I96" s="98"/>
      <c r="J96" s="98"/>
    </row>
    <row r="97" spans="5:10" x14ac:dyDescent="0.2">
      <c r="E97" s="98"/>
      <c r="F97" s="98"/>
      <c r="I97" s="98"/>
      <c r="J97" s="98"/>
    </row>
    <row r="98" spans="5:10" x14ac:dyDescent="0.2">
      <c r="E98" s="98"/>
      <c r="F98" s="98"/>
      <c r="I98" s="98"/>
      <c r="J98" s="98"/>
    </row>
    <row r="99" spans="5:10" x14ac:dyDescent="0.2">
      <c r="E99" s="98"/>
      <c r="F99" s="98"/>
      <c r="I99" s="98"/>
      <c r="J99" s="98"/>
    </row>
    <row r="100" spans="5:10" x14ac:dyDescent="0.2">
      <c r="E100" s="98"/>
      <c r="F100" s="98"/>
      <c r="I100" s="98"/>
      <c r="J100" s="98"/>
    </row>
    <row r="101" spans="5:10" x14ac:dyDescent="0.2">
      <c r="E101" s="98"/>
      <c r="F101" s="98"/>
      <c r="I101" s="98"/>
      <c r="J101" s="98"/>
    </row>
    <row r="102" spans="5:10" x14ac:dyDescent="0.2">
      <c r="E102" s="98"/>
      <c r="F102" s="98"/>
      <c r="I102" s="98"/>
      <c r="J102" s="98"/>
    </row>
    <row r="103" spans="5:10" x14ac:dyDescent="0.2">
      <c r="E103" s="98"/>
      <c r="F103" s="98"/>
      <c r="I103" s="98"/>
      <c r="J103" s="98"/>
    </row>
    <row r="104" spans="5:10" x14ac:dyDescent="0.2">
      <c r="E104" s="98"/>
      <c r="F104" s="98"/>
      <c r="I104" s="98"/>
      <c r="J104" s="98"/>
    </row>
    <row r="105" spans="5:10" x14ac:dyDescent="0.2">
      <c r="E105" s="98"/>
      <c r="F105" s="98"/>
      <c r="I105" s="98"/>
      <c r="J105" s="98"/>
    </row>
    <row r="106" spans="5:10" x14ac:dyDescent="0.2">
      <c r="E106" s="98"/>
      <c r="F106" s="98"/>
      <c r="I106" s="98"/>
      <c r="J106" s="98"/>
    </row>
    <row r="107" spans="5:10" x14ac:dyDescent="0.2">
      <c r="E107" s="98"/>
      <c r="F107" s="98"/>
      <c r="I107" s="98"/>
      <c r="J107" s="98"/>
    </row>
    <row r="108" spans="5:10" x14ac:dyDescent="0.2">
      <c r="E108" s="98"/>
      <c r="F108" s="98"/>
      <c r="I108" s="98"/>
      <c r="J108" s="98"/>
    </row>
    <row r="109" spans="5:10" x14ac:dyDescent="0.2">
      <c r="E109" s="98"/>
      <c r="F109" s="98"/>
      <c r="I109" s="98"/>
      <c r="J109" s="98"/>
    </row>
    <row r="110" spans="5:10" x14ac:dyDescent="0.2">
      <c r="E110" s="98"/>
      <c r="F110" s="98"/>
      <c r="I110" s="98"/>
      <c r="J110" s="98"/>
    </row>
    <row r="111" spans="5:10" x14ac:dyDescent="0.2">
      <c r="E111" s="98"/>
      <c r="F111" s="98"/>
      <c r="I111" s="98"/>
      <c r="J111" s="98"/>
    </row>
    <row r="112" spans="5:10" x14ac:dyDescent="0.2">
      <c r="E112" s="98"/>
      <c r="F112" s="98"/>
      <c r="I112" s="98"/>
      <c r="J112" s="98"/>
    </row>
    <row r="113" spans="5:10" x14ac:dyDescent="0.2">
      <c r="E113" s="98"/>
      <c r="F113" s="98"/>
      <c r="I113" s="98"/>
      <c r="J113" s="98"/>
    </row>
    <row r="114" spans="5:10" x14ac:dyDescent="0.2">
      <c r="E114" s="98"/>
      <c r="F114" s="98"/>
      <c r="I114" s="98"/>
      <c r="J114" s="98"/>
    </row>
    <row r="115" spans="5:10" x14ac:dyDescent="0.2">
      <c r="E115" s="98"/>
      <c r="F115" s="98"/>
      <c r="I115" s="98"/>
      <c r="J115" s="98"/>
    </row>
    <row r="116" spans="5:10" x14ac:dyDescent="0.2">
      <c r="E116" s="98"/>
      <c r="F116" s="98"/>
      <c r="I116" s="98"/>
      <c r="J116" s="98"/>
    </row>
    <row r="117" spans="5:10" x14ac:dyDescent="0.2">
      <c r="E117" s="98"/>
      <c r="F117" s="98"/>
      <c r="I117" s="98"/>
      <c r="J117" s="98"/>
    </row>
    <row r="118" spans="5:10" x14ac:dyDescent="0.2">
      <c r="E118" s="98"/>
      <c r="F118" s="98"/>
      <c r="I118" s="98"/>
      <c r="J118" s="98"/>
    </row>
    <row r="119" spans="5:10" x14ac:dyDescent="0.2">
      <c r="E119" s="98"/>
      <c r="F119" s="98"/>
      <c r="I119" s="98"/>
      <c r="J119" s="98"/>
    </row>
    <row r="120" spans="5:10" x14ac:dyDescent="0.2">
      <c r="E120" s="98"/>
      <c r="F120" s="98"/>
      <c r="I120" s="98"/>
      <c r="J120" s="98"/>
    </row>
    <row r="121" spans="5:10" x14ac:dyDescent="0.2">
      <c r="E121" s="98"/>
      <c r="F121" s="98"/>
      <c r="I121" s="98"/>
      <c r="J121" s="98"/>
    </row>
    <row r="122" spans="5:10" x14ac:dyDescent="0.2">
      <c r="E122" s="98"/>
      <c r="F122" s="98"/>
      <c r="I122" s="98"/>
      <c r="J122" s="98"/>
    </row>
    <row r="123" spans="5:10" x14ac:dyDescent="0.2">
      <c r="E123" s="98"/>
      <c r="F123" s="98"/>
      <c r="I123" s="98"/>
      <c r="J123" s="98"/>
    </row>
    <row r="124" spans="5:10" x14ac:dyDescent="0.2">
      <c r="E124" s="98"/>
      <c r="F124" s="98"/>
      <c r="I124" s="98"/>
      <c r="J124" s="98"/>
    </row>
    <row r="125" spans="5:10" x14ac:dyDescent="0.2">
      <c r="E125" s="98"/>
      <c r="F125" s="98"/>
      <c r="I125" s="98"/>
      <c r="J125" s="98"/>
    </row>
    <row r="126" spans="5:10" x14ac:dyDescent="0.2">
      <c r="E126" s="98"/>
      <c r="F126" s="98"/>
      <c r="I126" s="98"/>
      <c r="J126" s="98"/>
    </row>
    <row r="127" spans="5:10" x14ac:dyDescent="0.2">
      <c r="E127" s="98"/>
      <c r="F127" s="98"/>
      <c r="I127" s="98"/>
      <c r="J127" s="98"/>
    </row>
    <row r="128" spans="5:10" x14ac:dyDescent="0.2">
      <c r="E128" s="98"/>
      <c r="F128" s="98"/>
      <c r="I128" s="98"/>
      <c r="J128" s="98"/>
    </row>
    <row r="129" spans="5:10" x14ac:dyDescent="0.2">
      <c r="E129" s="98"/>
      <c r="F129" s="98"/>
      <c r="I129" s="98"/>
      <c r="J129" s="98"/>
    </row>
    <row r="130" spans="5:10" x14ac:dyDescent="0.2">
      <c r="E130" s="98"/>
      <c r="F130" s="98"/>
      <c r="I130" s="98"/>
      <c r="J130" s="98"/>
    </row>
    <row r="131" spans="5:10" x14ac:dyDescent="0.2">
      <c r="E131" s="98"/>
      <c r="F131" s="98"/>
      <c r="I131" s="98"/>
      <c r="J131" s="98"/>
    </row>
    <row r="132" spans="5:10" x14ac:dyDescent="0.2">
      <c r="E132" s="98"/>
      <c r="F132" s="98"/>
      <c r="I132" s="98"/>
      <c r="J132" s="98"/>
    </row>
    <row r="133" spans="5:10" x14ac:dyDescent="0.2">
      <c r="E133" s="98"/>
      <c r="F133" s="98"/>
      <c r="I133" s="98"/>
      <c r="J133" s="98"/>
    </row>
    <row r="134" spans="5:10" x14ac:dyDescent="0.2">
      <c r="E134" s="98"/>
      <c r="F134" s="98"/>
      <c r="I134" s="98"/>
      <c r="J134" s="98"/>
    </row>
    <row r="135" spans="5:10" x14ac:dyDescent="0.2">
      <c r="E135" s="98"/>
      <c r="F135" s="98"/>
      <c r="I135" s="98"/>
      <c r="J135" s="98"/>
    </row>
    <row r="136" spans="5:10" x14ac:dyDescent="0.2">
      <c r="E136" s="98"/>
      <c r="F136" s="98"/>
      <c r="I136" s="98"/>
      <c r="J136" s="98"/>
    </row>
    <row r="137" spans="5:10" x14ac:dyDescent="0.2">
      <c r="E137" s="98"/>
      <c r="F137" s="98"/>
      <c r="I137" s="98"/>
      <c r="J137" s="98"/>
    </row>
    <row r="138" spans="5:10" x14ac:dyDescent="0.2">
      <c r="E138" s="98"/>
      <c r="F138" s="98"/>
      <c r="I138" s="98"/>
      <c r="J138" s="98"/>
    </row>
    <row r="139" spans="5:10" x14ac:dyDescent="0.2">
      <c r="E139" s="98"/>
      <c r="F139" s="98"/>
      <c r="I139" s="98"/>
      <c r="J139" s="98"/>
    </row>
    <row r="140" spans="5:10" x14ac:dyDescent="0.2">
      <c r="E140" s="98"/>
      <c r="F140" s="98"/>
      <c r="I140" s="98"/>
      <c r="J140" s="98"/>
    </row>
    <row r="141" spans="5:10" x14ac:dyDescent="0.2">
      <c r="E141" s="98"/>
      <c r="F141" s="98"/>
      <c r="I141" s="98"/>
      <c r="J141" s="98"/>
    </row>
    <row r="142" spans="5:10" x14ac:dyDescent="0.2">
      <c r="E142" s="98"/>
      <c r="F142" s="98"/>
      <c r="I142" s="98"/>
      <c r="J142" s="98"/>
    </row>
    <row r="143" spans="5:10" x14ac:dyDescent="0.2">
      <c r="E143" s="98"/>
      <c r="F143" s="98"/>
      <c r="I143" s="98"/>
      <c r="J143" s="98"/>
    </row>
    <row r="144" spans="5:10" x14ac:dyDescent="0.2">
      <c r="E144" s="98"/>
      <c r="F144" s="98"/>
      <c r="I144" s="98"/>
      <c r="J144" s="98"/>
    </row>
    <row r="145" spans="5:10" x14ac:dyDescent="0.2">
      <c r="E145" s="98"/>
      <c r="F145" s="98"/>
      <c r="I145" s="98"/>
      <c r="J145" s="98"/>
    </row>
    <row r="146" spans="5:10" x14ac:dyDescent="0.2">
      <c r="E146" s="98"/>
      <c r="F146" s="98"/>
      <c r="I146" s="98"/>
      <c r="J146" s="98"/>
    </row>
    <row r="147" spans="5:10" x14ac:dyDescent="0.2">
      <c r="E147" s="98"/>
      <c r="F147" s="98"/>
      <c r="I147" s="98"/>
      <c r="J147" s="98"/>
    </row>
    <row r="148" spans="5:10" x14ac:dyDescent="0.2">
      <c r="E148" s="98"/>
      <c r="F148" s="98"/>
      <c r="I148" s="98"/>
      <c r="J148" s="98"/>
    </row>
    <row r="149" spans="5:10" x14ac:dyDescent="0.2">
      <c r="E149" s="98"/>
      <c r="F149" s="98"/>
      <c r="I149" s="98"/>
      <c r="J149" s="98"/>
    </row>
    <row r="150" spans="5:10" x14ac:dyDescent="0.2">
      <c r="E150" s="98"/>
      <c r="F150" s="98"/>
      <c r="I150" s="98"/>
      <c r="J150" s="98"/>
    </row>
    <row r="151" spans="5:10" x14ac:dyDescent="0.2">
      <c r="E151" s="98"/>
      <c r="F151" s="98"/>
      <c r="I151" s="98"/>
      <c r="J151" s="98"/>
    </row>
    <row r="152" spans="5:10" x14ac:dyDescent="0.2">
      <c r="E152" s="98"/>
      <c r="F152" s="98"/>
      <c r="I152" s="98"/>
      <c r="J152" s="98"/>
    </row>
    <row r="153" spans="5:10" x14ac:dyDescent="0.2">
      <c r="E153" s="98"/>
      <c r="F153" s="98"/>
      <c r="I153" s="98"/>
      <c r="J153" s="98"/>
    </row>
    <row r="154" spans="5:10" x14ac:dyDescent="0.2">
      <c r="E154" s="98"/>
      <c r="F154" s="98"/>
      <c r="I154" s="98"/>
      <c r="J154" s="98"/>
    </row>
    <row r="155" spans="5:10" x14ac:dyDescent="0.2">
      <c r="E155" s="98"/>
      <c r="F155" s="98"/>
      <c r="I155" s="98"/>
      <c r="J155" s="98"/>
    </row>
    <row r="156" spans="5:10" x14ac:dyDescent="0.2">
      <c r="E156" s="98"/>
      <c r="F156" s="98"/>
      <c r="I156" s="98"/>
      <c r="J156" s="98"/>
    </row>
    <row r="157" spans="5:10" x14ac:dyDescent="0.2">
      <c r="E157" s="98"/>
      <c r="F157" s="98"/>
      <c r="I157" s="98"/>
      <c r="J157" s="98"/>
    </row>
    <row r="158" spans="5:10" x14ac:dyDescent="0.2">
      <c r="E158" s="98"/>
      <c r="F158" s="98"/>
      <c r="I158" s="98"/>
      <c r="J158" s="98"/>
    </row>
    <row r="159" spans="5:10" x14ac:dyDescent="0.2">
      <c r="E159" s="98"/>
      <c r="F159" s="98"/>
      <c r="I159" s="98"/>
      <c r="J159" s="98"/>
    </row>
    <row r="160" spans="5:10" x14ac:dyDescent="0.2">
      <c r="E160" s="98"/>
      <c r="F160" s="98"/>
      <c r="I160" s="98"/>
      <c r="J160" s="98"/>
    </row>
    <row r="161" spans="5:10" x14ac:dyDescent="0.2">
      <c r="E161" s="98"/>
      <c r="F161" s="98"/>
      <c r="I161" s="98"/>
      <c r="J161" s="98"/>
    </row>
    <row r="162" spans="5:10" x14ac:dyDescent="0.2">
      <c r="E162" s="98"/>
      <c r="F162" s="98"/>
      <c r="I162" s="98"/>
      <c r="J162" s="98"/>
    </row>
    <row r="163" spans="5:10" x14ac:dyDescent="0.2">
      <c r="E163" s="98"/>
      <c r="F163" s="98"/>
      <c r="I163" s="98"/>
      <c r="J163" s="98"/>
    </row>
    <row r="164" spans="5:10" x14ac:dyDescent="0.2">
      <c r="E164" s="98"/>
      <c r="F164" s="98"/>
      <c r="I164" s="98"/>
      <c r="J164" s="98"/>
    </row>
    <row r="165" spans="5:10" x14ac:dyDescent="0.2">
      <c r="E165" s="98"/>
      <c r="F165" s="98"/>
      <c r="I165" s="98"/>
      <c r="J165" s="98"/>
    </row>
    <row r="166" spans="5:10" x14ac:dyDescent="0.2">
      <c r="E166" s="98"/>
      <c r="F166" s="98"/>
      <c r="I166" s="98"/>
      <c r="J166" s="98"/>
    </row>
    <row r="167" spans="5:10" x14ac:dyDescent="0.2">
      <c r="E167" s="98"/>
      <c r="F167" s="98"/>
      <c r="I167" s="98"/>
      <c r="J167" s="98"/>
    </row>
    <row r="168" spans="5:10" x14ac:dyDescent="0.2">
      <c r="E168" s="98"/>
      <c r="F168" s="98"/>
      <c r="I168" s="98"/>
      <c r="J168" s="98"/>
    </row>
    <row r="169" spans="5:10" x14ac:dyDescent="0.2">
      <c r="E169" s="98"/>
      <c r="F169" s="98"/>
      <c r="I169" s="98"/>
      <c r="J169" s="98"/>
    </row>
    <row r="170" spans="5:10" x14ac:dyDescent="0.2">
      <c r="E170" s="98"/>
      <c r="F170" s="98"/>
      <c r="I170" s="98"/>
      <c r="J170" s="98"/>
    </row>
    <row r="171" spans="5:10" x14ac:dyDescent="0.2">
      <c r="E171" s="98"/>
      <c r="F171" s="98"/>
      <c r="I171" s="98"/>
      <c r="J171" s="98"/>
    </row>
    <row r="172" spans="5:10" x14ac:dyDescent="0.2">
      <c r="E172" s="98"/>
      <c r="F172" s="98"/>
      <c r="I172" s="98"/>
      <c r="J172" s="98"/>
    </row>
    <row r="173" spans="5:10" x14ac:dyDescent="0.2">
      <c r="E173" s="98"/>
      <c r="F173" s="98"/>
      <c r="I173" s="98"/>
      <c r="J173" s="98"/>
    </row>
    <row r="174" spans="5:10" x14ac:dyDescent="0.2">
      <c r="E174" s="98"/>
      <c r="F174" s="98"/>
      <c r="I174" s="98"/>
      <c r="J174" s="98"/>
    </row>
    <row r="175" spans="5:10" x14ac:dyDescent="0.2">
      <c r="E175" s="98"/>
      <c r="F175" s="98"/>
      <c r="I175" s="98"/>
      <c r="J175" s="98"/>
    </row>
    <row r="176" spans="5:10" x14ac:dyDescent="0.2">
      <c r="E176" s="98"/>
      <c r="F176" s="98"/>
      <c r="I176" s="98"/>
      <c r="J176" s="98"/>
    </row>
    <row r="177" spans="5:10" x14ac:dyDescent="0.2">
      <c r="E177" s="98"/>
      <c r="F177" s="98"/>
      <c r="I177" s="98"/>
      <c r="J177" s="98"/>
    </row>
    <row r="178" spans="5:10" x14ac:dyDescent="0.2">
      <c r="E178" s="98"/>
      <c r="F178" s="98"/>
      <c r="I178" s="98"/>
      <c r="J178" s="98"/>
    </row>
    <row r="179" spans="5:10" x14ac:dyDescent="0.2">
      <c r="E179" s="98"/>
      <c r="F179" s="98"/>
      <c r="I179" s="98"/>
      <c r="J179" s="98"/>
    </row>
    <row r="180" spans="5:10" x14ac:dyDescent="0.2">
      <c r="E180" s="98"/>
      <c r="F180" s="98"/>
      <c r="I180" s="98"/>
      <c r="J180" s="98"/>
    </row>
    <row r="181" spans="5:10" x14ac:dyDescent="0.2">
      <c r="E181" s="98"/>
      <c r="F181" s="98"/>
      <c r="I181" s="98"/>
      <c r="J181" s="98"/>
    </row>
    <row r="182" spans="5:10" x14ac:dyDescent="0.2">
      <c r="E182" s="98"/>
      <c r="F182" s="98"/>
      <c r="I182" s="98"/>
      <c r="J182" s="98"/>
    </row>
    <row r="183" spans="5:10" x14ac:dyDescent="0.2">
      <c r="E183" s="98"/>
      <c r="F183" s="98"/>
      <c r="I183" s="98"/>
      <c r="J183" s="98"/>
    </row>
    <row r="184" spans="5:10" x14ac:dyDescent="0.2">
      <c r="E184" s="98"/>
      <c r="F184" s="98"/>
      <c r="I184" s="98"/>
      <c r="J184" s="98"/>
    </row>
    <row r="185" spans="5:10" x14ac:dyDescent="0.2">
      <c r="E185" s="98"/>
      <c r="F185" s="98"/>
      <c r="I185" s="98"/>
      <c r="J185" s="98"/>
    </row>
    <row r="186" spans="5:10" x14ac:dyDescent="0.2">
      <c r="E186" s="98"/>
      <c r="F186" s="98"/>
      <c r="I186" s="98"/>
      <c r="J186" s="98"/>
    </row>
    <row r="187" spans="5:10" x14ac:dyDescent="0.2">
      <c r="E187" s="98"/>
      <c r="F187" s="98"/>
      <c r="I187" s="98"/>
      <c r="J187" s="98"/>
    </row>
    <row r="188" spans="5:10" x14ac:dyDescent="0.2">
      <c r="E188" s="98"/>
      <c r="F188" s="98"/>
      <c r="I188" s="98"/>
      <c r="J188" s="98"/>
    </row>
    <row r="189" spans="5:10" x14ac:dyDescent="0.2">
      <c r="E189" s="98"/>
      <c r="F189" s="98"/>
      <c r="I189" s="98"/>
      <c r="J189" s="98"/>
    </row>
    <row r="190" spans="5:10" x14ac:dyDescent="0.2">
      <c r="E190" s="98"/>
      <c r="F190" s="98"/>
      <c r="I190" s="98"/>
      <c r="J190" s="98"/>
    </row>
    <row r="191" spans="5:10" x14ac:dyDescent="0.2">
      <c r="E191" s="98"/>
      <c r="F191" s="98"/>
      <c r="I191" s="98"/>
      <c r="J191" s="98"/>
    </row>
    <row r="192" spans="5:10" x14ac:dyDescent="0.2">
      <c r="E192" s="98"/>
      <c r="F192" s="98"/>
      <c r="I192" s="98"/>
      <c r="J192" s="98"/>
    </row>
    <row r="193" spans="5:10" x14ac:dyDescent="0.2">
      <c r="E193" s="98"/>
      <c r="F193" s="98"/>
      <c r="I193" s="98"/>
      <c r="J193" s="98"/>
    </row>
    <row r="194" spans="5:10" x14ac:dyDescent="0.2">
      <c r="E194" s="98"/>
      <c r="F194" s="98"/>
      <c r="I194" s="98"/>
      <c r="J194" s="98"/>
    </row>
    <row r="195" spans="5:10" x14ac:dyDescent="0.2">
      <c r="E195" s="98"/>
      <c r="F195" s="98"/>
      <c r="I195" s="98"/>
      <c r="J195" s="98"/>
    </row>
    <row r="196" spans="5:10" x14ac:dyDescent="0.2">
      <c r="E196" s="98"/>
      <c r="F196" s="98"/>
      <c r="I196" s="98"/>
      <c r="J196" s="98"/>
    </row>
    <row r="197" spans="5:10" x14ac:dyDescent="0.2">
      <c r="E197" s="98"/>
      <c r="F197" s="98"/>
      <c r="I197" s="98"/>
      <c r="J197" s="98"/>
    </row>
    <row r="198" spans="5:10" x14ac:dyDescent="0.2">
      <c r="E198" s="98"/>
      <c r="F198" s="98"/>
      <c r="I198" s="98"/>
      <c r="J198" s="98"/>
    </row>
    <row r="199" spans="5:10" x14ac:dyDescent="0.2">
      <c r="E199" s="98"/>
      <c r="F199" s="98"/>
      <c r="I199" s="98"/>
      <c r="J199" s="98"/>
    </row>
    <row r="200" spans="5:10" x14ac:dyDescent="0.2">
      <c r="E200" s="98"/>
      <c r="F200" s="98"/>
      <c r="I200" s="98"/>
      <c r="J200" s="98"/>
    </row>
    <row r="201" spans="5:10" x14ac:dyDescent="0.2">
      <c r="E201" s="98"/>
      <c r="F201" s="98"/>
      <c r="I201" s="98"/>
      <c r="J201" s="98"/>
    </row>
    <row r="202" spans="5:10" x14ac:dyDescent="0.2">
      <c r="E202" s="98"/>
      <c r="F202" s="98"/>
      <c r="I202" s="98"/>
      <c r="J202" s="98"/>
    </row>
    <row r="203" spans="5:10" x14ac:dyDescent="0.2">
      <c r="E203" s="98"/>
      <c r="F203" s="98"/>
      <c r="I203" s="98"/>
      <c r="J203" s="98"/>
    </row>
    <row r="204" spans="5:10" x14ac:dyDescent="0.2">
      <c r="E204" s="98"/>
      <c r="F204" s="98"/>
      <c r="I204" s="98"/>
      <c r="J204" s="98"/>
    </row>
    <row r="205" spans="5:10" x14ac:dyDescent="0.2">
      <c r="E205" s="98"/>
      <c r="F205" s="98"/>
      <c r="I205" s="98"/>
      <c r="J205" s="98"/>
    </row>
    <row r="206" spans="5:10" x14ac:dyDescent="0.2">
      <c r="E206" s="98"/>
      <c r="F206" s="98"/>
      <c r="I206" s="98"/>
      <c r="J206" s="98"/>
    </row>
    <row r="207" spans="5:10" x14ac:dyDescent="0.2">
      <c r="E207" s="98"/>
      <c r="F207" s="98"/>
      <c r="I207" s="98"/>
      <c r="J207" s="98"/>
    </row>
    <row r="208" spans="5:10" x14ac:dyDescent="0.2">
      <c r="E208" s="98"/>
      <c r="F208" s="98"/>
      <c r="I208" s="98"/>
      <c r="J208" s="98"/>
    </row>
    <row r="209" spans="5:10" x14ac:dyDescent="0.2">
      <c r="E209" s="98"/>
      <c r="F209" s="98"/>
      <c r="I209" s="98"/>
      <c r="J209" s="98"/>
    </row>
    <row r="210" spans="5:10" x14ac:dyDescent="0.2">
      <c r="E210" s="98"/>
      <c r="F210" s="98"/>
      <c r="I210" s="98"/>
      <c r="J210" s="98"/>
    </row>
    <row r="211" spans="5:10" x14ac:dyDescent="0.2">
      <c r="E211" s="98"/>
      <c r="F211" s="98"/>
      <c r="I211" s="98"/>
      <c r="J211" s="98"/>
    </row>
    <row r="212" spans="5:10" x14ac:dyDescent="0.2">
      <c r="E212" s="98"/>
      <c r="F212" s="98"/>
      <c r="I212" s="98"/>
      <c r="J212" s="98"/>
    </row>
    <row r="213" spans="5:10" x14ac:dyDescent="0.2">
      <c r="E213" s="98"/>
      <c r="F213" s="98"/>
      <c r="I213" s="98"/>
      <c r="J213" s="98"/>
    </row>
    <row r="214" spans="5:10" x14ac:dyDescent="0.2">
      <c r="E214" s="98"/>
      <c r="F214" s="98"/>
      <c r="I214" s="98"/>
      <c r="J214" s="98"/>
    </row>
    <row r="215" spans="5:10" x14ac:dyDescent="0.2">
      <c r="E215" s="98"/>
      <c r="F215" s="98"/>
      <c r="I215" s="98"/>
      <c r="J215" s="98"/>
    </row>
    <row r="216" spans="5:10" x14ac:dyDescent="0.2">
      <c r="E216" s="98"/>
      <c r="F216" s="98"/>
      <c r="I216" s="98"/>
      <c r="J216" s="98"/>
    </row>
    <row r="217" spans="5:10" x14ac:dyDescent="0.2">
      <c r="E217" s="98"/>
      <c r="F217" s="98"/>
      <c r="I217" s="98"/>
      <c r="J217" s="98"/>
    </row>
    <row r="218" spans="5:10" x14ac:dyDescent="0.2">
      <c r="E218" s="98"/>
      <c r="F218" s="98"/>
      <c r="I218" s="98"/>
      <c r="J218" s="98"/>
    </row>
    <row r="219" spans="5:10" x14ac:dyDescent="0.2">
      <c r="E219" s="98"/>
      <c r="F219" s="98"/>
      <c r="I219" s="98"/>
      <c r="J219" s="98"/>
    </row>
    <row r="220" spans="5:10" x14ac:dyDescent="0.2">
      <c r="E220" s="98"/>
      <c r="F220" s="98"/>
      <c r="I220" s="98"/>
      <c r="J220" s="98"/>
    </row>
    <row r="221" spans="5:10" x14ac:dyDescent="0.2">
      <c r="E221" s="98"/>
      <c r="F221" s="98"/>
      <c r="I221" s="98"/>
      <c r="J221" s="98"/>
    </row>
    <row r="222" spans="5:10" x14ac:dyDescent="0.2">
      <c r="E222" s="98"/>
      <c r="F222" s="98"/>
      <c r="I222" s="98"/>
      <c r="J222" s="98"/>
    </row>
    <row r="223" spans="5:10" x14ac:dyDescent="0.2">
      <c r="E223" s="98"/>
      <c r="F223" s="98"/>
      <c r="I223" s="98"/>
      <c r="J223" s="98"/>
    </row>
    <row r="224" spans="5:10" x14ac:dyDescent="0.2">
      <c r="E224" s="98"/>
      <c r="F224" s="98"/>
      <c r="I224" s="98"/>
      <c r="J224" s="98"/>
    </row>
    <row r="225" spans="5:10" x14ac:dyDescent="0.2">
      <c r="E225" s="98"/>
      <c r="F225" s="98"/>
      <c r="I225" s="98"/>
      <c r="J225" s="98"/>
    </row>
    <row r="226" spans="5:10" x14ac:dyDescent="0.2">
      <c r="E226" s="98"/>
      <c r="F226" s="98"/>
      <c r="I226" s="98"/>
      <c r="J226" s="98"/>
    </row>
    <row r="227" spans="5:10" x14ac:dyDescent="0.2">
      <c r="E227" s="98"/>
      <c r="F227" s="98"/>
      <c r="I227" s="98"/>
      <c r="J227" s="98"/>
    </row>
    <row r="228" spans="5:10" x14ac:dyDescent="0.2">
      <c r="E228" s="98"/>
      <c r="F228" s="98"/>
      <c r="I228" s="98"/>
      <c r="J228" s="98"/>
    </row>
    <row r="229" spans="5:10" x14ac:dyDescent="0.2">
      <c r="E229" s="98"/>
      <c r="F229" s="98"/>
      <c r="I229" s="98"/>
      <c r="J229" s="98"/>
    </row>
    <row r="230" spans="5:10" x14ac:dyDescent="0.2">
      <c r="E230" s="98"/>
      <c r="F230" s="98"/>
      <c r="I230" s="98"/>
      <c r="J230" s="98"/>
    </row>
    <row r="231" spans="5:10" x14ac:dyDescent="0.2">
      <c r="E231" s="98"/>
      <c r="F231" s="98"/>
      <c r="I231" s="98"/>
      <c r="J231" s="98"/>
    </row>
    <row r="232" spans="5:10" x14ac:dyDescent="0.2">
      <c r="E232" s="98"/>
      <c r="F232" s="98"/>
      <c r="I232" s="98"/>
      <c r="J232" s="98"/>
    </row>
    <row r="233" spans="5:10" x14ac:dyDescent="0.2">
      <c r="E233" s="98"/>
      <c r="F233" s="98"/>
      <c r="I233" s="98"/>
      <c r="J233" s="98"/>
    </row>
    <row r="234" spans="5:10" x14ac:dyDescent="0.2">
      <c r="E234" s="98"/>
      <c r="F234" s="98"/>
      <c r="I234" s="98"/>
      <c r="J234" s="98"/>
    </row>
    <row r="235" spans="5:10" x14ac:dyDescent="0.2">
      <c r="E235" s="98"/>
      <c r="F235" s="98"/>
      <c r="I235" s="98"/>
      <c r="J235" s="98"/>
    </row>
    <row r="236" spans="5:10" x14ac:dyDescent="0.2">
      <c r="E236" s="98"/>
      <c r="F236" s="98"/>
      <c r="I236" s="98"/>
      <c r="J236" s="98"/>
    </row>
    <row r="237" spans="5:10" x14ac:dyDescent="0.2">
      <c r="E237" s="98"/>
      <c r="F237" s="98"/>
      <c r="I237" s="98"/>
      <c r="J237" s="98"/>
    </row>
    <row r="238" spans="5:10" x14ac:dyDescent="0.2">
      <c r="E238" s="98"/>
      <c r="F238" s="98"/>
      <c r="I238" s="98"/>
      <c r="J238" s="98"/>
    </row>
    <row r="239" spans="5:10" x14ac:dyDescent="0.2">
      <c r="E239" s="98"/>
      <c r="F239" s="98"/>
      <c r="I239" s="98"/>
      <c r="J239" s="98"/>
    </row>
    <row r="240" spans="5:10" x14ac:dyDescent="0.2">
      <c r="E240" s="98"/>
      <c r="F240" s="98"/>
      <c r="I240" s="98"/>
      <c r="J240" s="98"/>
    </row>
    <row r="241" spans="5:10" x14ac:dyDescent="0.2">
      <c r="E241" s="98"/>
      <c r="F241" s="98"/>
      <c r="I241" s="98"/>
      <c r="J241" s="98"/>
    </row>
    <row r="242" spans="5:10" x14ac:dyDescent="0.2">
      <c r="E242" s="98"/>
      <c r="F242" s="98"/>
      <c r="I242" s="98"/>
      <c r="J242" s="98"/>
    </row>
    <row r="243" spans="5:10" x14ac:dyDescent="0.2">
      <c r="E243" s="98"/>
      <c r="F243" s="98"/>
      <c r="I243" s="98"/>
      <c r="J243" s="98"/>
    </row>
    <row r="244" spans="5:10" x14ac:dyDescent="0.2">
      <c r="E244" s="98"/>
      <c r="F244" s="98"/>
      <c r="I244" s="98"/>
      <c r="J244" s="98"/>
    </row>
    <row r="245" spans="5:10" x14ac:dyDescent="0.2">
      <c r="E245" s="98"/>
      <c r="F245" s="98"/>
      <c r="I245" s="98"/>
      <c r="J245" s="98"/>
    </row>
    <row r="246" spans="5:10" x14ac:dyDescent="0.2">
      <c r="E246" s="98"/>
      <c r="F246" s="98"/>
      <c r="I246" s="98"/>
      <c r="J246" s="98"/>
    </row>
    <row r="247" spans="5:10" x14ac:dyDescent="0.2">
      <c r="E247" s="98"/>
      <c r="F247" s="98"/>
      <c r="I247" s="98"/>
      <c r="J247" s="98"/>
    </row>
    <row r="248" spans="5:10" x14ac:dyDescent="0.2">
      <c r="E248" s="98"/>
      <c r="F248" s="98"/>
      <c r="I248" s="98"/>
      <c r="J248" s="98"/>
    </row>
    <row r="249" spans="5:10" x14ac:dyDescent="0.2">
      <c r="E249" s="98"/>
      <c r="F249" s="98"/>
      <c r="I249" s="98"/>
      <c r="J249" s="98"/>
    </row>
    <row r="250" spans="5:10" x14ac:dyDescent="0.2">
      <c r="E250" s="98"/>
      <c r="F250" s="98"/>
      <c r="I250" s="98"/>
      <c r="J250" s="98"/>
    </row>
    <row r="251" spans="5:10" x14ac:dyDescent="0.2">
      <c r="E251" s="98"/>
      <c r="F251" s="98"/>
      <c r="I251" s="98"/>
      <c r="J251" s="98"/>
    </row>
    <row r="252" spans="5:10" x14ac:dyDescent="0.2">
      <c r="E252" s="98"/>
      <c r="F252" s="98"/>
      <c r="I252" s="98"/>
      <c r="J252" s="98"/>
    </row>
    <row r="253" spans="5:10" x14ac:dyDescent="0.2">
      <c r="E253" s="98"/>
      <c r="F253" s="98"/>
      <c r="I253" s="98"/>
      <c r="J253" s="98"/>
    </row>
    <row r="254" spans="5:10" x14ac:dyDescent="0.2">
      <c r="E254" s="98"/>
      <c r="F254" s="98"/>
      <c r="I254" s="98"/>
      <c r="J254" s="98"/>
    </row>
    <row r="255" spans="5:10" x14ac:dyDescent="0.2">
      <c r="E255" s="98"/>
      <c r="F255" s="98"/>
      <c r="I255" s="98"/>
      <c r="J255" s="98"/>
    </row>
    <row r="256" spans="5:10" x14ac:dyDescent="0.2">
      <c r="E256" s="98"/>
      <c r="F256" s="98"/>
      <c r="I256" s="98"/>
      <c r="J256" s="98"/>
    </row>
    <row r="257" spans="5:10" x14ac:dyDescent="0.2">
      <c r="E257" s="98"/>
      <c r="F257" s="98"/>
      <c r="I257" s="98"/>
      <c r="J257" s="98"/>
    </row>
    <row r="258" spans="5:10" x14ac:dyDescent="0.2">
      <c r="E258" s="98"/>
      <c r="F258" s="98"/>
      <c r="I258" s="98"/>
      <c r="J258" s="98"/>
    </row>
    <row r="259" spans="5:10" x14ac:dyDescent="0.2">
      <c r="E259" s="98"/>
      <c r="F259" s="98"/>
      <c r="I259" s="98"/>
      <c r="J259" s="98"/>
    </row>
    <row r="260" spans="5:10" x14ac:dyDescent="0.2">
      <c r="E260" s="98"/>
      <c r="F260" s="98"/>
      <c r="I260" s="98"/>
      <c r="J260" s="98"/>
    </row>
    <row r="261" spans="5:10" x14ac:dyDescent="0.2">
      <c r="E261" s="98"/>
      <c r="F261" s="98"/>
      <c r="I261" s="98"/>
      <c r="J261" s="98"/>
    </row>
    <row r="262" spans="5:10" x14ac:dyDescent="0.2">
      <c r="E262" s="98"/>
      <c r="F262" s="98"/>
      <c r="I262" s="98"/>
      <c r="J262" s="98"/>
    </row>
    <row r="263" spans="5:10" x14ac:dyDescent="0.2">
      <c r="E263" s="98"/>
      <c r="F263" s="98"/>
      <c r="I263" s="98"/>
      <c r="J263" s="98"/>
    </row>
    <row r="264" spans="5:10" x14ac:dyDescent="0.2">
      <c r="E264" s="98"/>
      <c r="F264" s="98"/>
      <c r="I264" s="98"/>
      <c r="J264" s="98"/>
    </row>
    <row r="265" spans="5:10" x14ac:dyDescent="0.2">
      <c r="E265" s="98"/>
      <c r="F265" s="98"/>
      <c r="I265" s="98"/>
      <c r="J265" s="98"/>
    </row>
    <row r="266" spans="5:10" x14ac:dyDescent="0.2">
      <c r="E266" s="98"/>
      <c r="F266" s="98"/>
      <c r="I266" s="98"/>
      <c r="J266" s="98"/>
    </row>
    <row r="267" spans="5:10" x14ac:dyDescent="0.2">
      <c r="E267" s="98"/>
      <c r="F267" s="98"/>
      <c r="I267" s="98"/>
      <c r="J267" s="98"/>
    </row>
    <row r="268" spans="5:10" x14ac:dyDescent="0.2">
      <c r="E268" s="98"/>
      <c r="F268" s="98"/>
      <c r="I268" s="98"/>
      <c r="J268" s="98"/>
    </row>
    <row r="269" spans="5:10" x14ac:dyDescent="0.2">
      <c r="E269" s="98"/>
      <c r="F269" s="98"/>
      <c r="I269" s="98"/>
      <c r="J269" s="98"/>
    </row>
    <row r="270" spans="5:10" x14ac:dyDescent="0.2">
      <c r="E270" s="98"/>
      <c r="F270" s="98"/>
      <c r="I270" s="98"/>
      <c r="J270" s="98"/>
    </row>
    <row r="271" spans="5:10" x14ac:dyDescent="0.2">
      <c r="E271" s="98"/>
      <c r="F271" s="98"/>
      <c r="I271" s="98"/>
      <c r="J271" s="98"/>
    </row>
    <row r="272" spans="5:10" x14ac:dyDescent="0.2">
      <c r="E272" s="98"/>
      <c r="F272" s="98"/>
      <c r="I272" s="98"/>
      <c r="J272" s="98"/>
    </row>
    <row r="273" spans="5:10" x14ac:dyDescent="0.2">
      <c r="E273" s="98"/>
      <c r="F273" s="98"/>
      <c r="I273" s="98"/>
      <c r="J273" s="98"/>
    </row>
    <row r="274" spans="5:10" x14ac:dyDescent="0.2">
      <c r="E274" s="98"/>
      <c r="F274" s="98"/>
      <c r="I274" s="98"/>
      <c r="J274" s="98"/>
    </row>
    <row r="275" spans="5:10" x14ac:dyDescent="0.2">
      <c r="E275" s="98"/>
      <c r="F275" s="98"/>
      <c r="I275" s="98"/>
      <c r="J275" s="98"/>
    </row>
    <row r="276" spans="5:10" x14ac:dyDescent="0.2">
      <c r="E276" s="98"/>
      <c r="F276" s="98"/>
      <c r="I276" s="98"/>
      <c r="J276" s="98"/>
    </row>
    <row r="277" spans="5:10" x14ac:dyDescent="0.2">
      <c r="E277" s="98"/>
      <c r="F277" s="98"/>
      <c r="I277" s="98"/>
      <c r="J277" s="98"/>
    </row>
    <row r="278" spans="5:10" x14ac:dyDescent="0.2">
      <c r="E278" s="98"/>
      <c r="F278" s="98"/>
      <c r="I278" s="98"/>
      <c r="J278" s="98"/>
    </row>
    <row r="279" spans="5:10" x14ac:dyDescent="0.2">
      <c r="E279" s="98"/>
      <c r="F279" s="98"/>
      <c r="I279" s="98"/>
      <c r="J279" s="98"/>
    </row>
    <row r="280" spans="5:10" x14ac:dyDescent="0.2">
      <c r="E280" s="98"/>
      <c r="F280" s="98"/>
      <c r="I280" s="98"/>
      <c r="J280" s="98"/>
    </row>
    <row r="281" spans="5:10" x14ac:dyDescent="0.2">
      <c r="E281" s="98"/>
      <c r="F281" s="98"/>
      <c r="I281" s="98"/>
      <c r="J281" s="98"/>
    </row>
    <row r="282" spans="5:10" x14ac:dyDescent="0.2">
      <c r="E282" s="98"/>
      <c r="F282" s="98"/>
      <c r="I282" s="98"/>
      <c r="J282" s="98"/>
    </row>
    <row r="283" spans="5:10" x14ac:dyDescent="0.2">
      <c r="E283" s="98"/>
      <c r="F283" s="98"/>
      <c r="I283" s="98"/>
      <c r="J283" s="98"/>
    </row>
    <row r="284" spans="5:10" x14ac:dyDescent="0.2">
      <c r="E284" s="98"/>
      <c r="F284" s="98"/>
      <c r="I284" s="98"/>
      <c r="J284" s="98"/>
    </row>
    <row r="285" spans="5:10" x14ac:dyDescent="0.2">
      <c r="E285" s="98"/>
      <c r="F285" s="98"/>
      <c r="I285" s="98"/>
      <c r="J285" s="98"/>
    </row>
    <row r="286" spans="5:10" x14ac:dyDescent="0.2">
      <c r="E286" s="98"/>
      <c r="F286" s="98"/>
      <c r="I286" s="98"/>
      <c r="J286" s="98"/>
    </row>
    <row r="287" spans="5:10" x14ac:dyDescent="0.2">
      <c r="E287" s="98"/>
      <c r="F287" s="98"/>
      <c r="I287" s="98"/>
      <c r="J287" s="98"/>
    </row>
    <row r="288" spans="5:10" x14ac:dyDescent="0.2">
      <c r="E288" s="98"/>
      <c r="F288" s="98"/>
      <c r="I288" s="98"/>
      <c r="J288" s="98"/>
    </row>
    <row r="289" spans="5:10" x14ac:dyDescent="0.2">
      <c r="E289" s="98"/>
      <c r="F289" s="98"/>
      <c r="I289" s="98"/>
      <c r="J289" s="98"/>
    </row>
    <row r="290" spans="5:10" x14ac:dyDescent="0.2">
      <c r="I290" s="98"/>
      <c r="J290" s="98"/>
    </row>
    <row r="291" spans="5:10" x14ac:dyDescent="0.2">
      <c r="I291" s="98"/>
      <c r="J291" s="98"/>
    </row>
    <row r="292" spans="5:10" x14ac:dyDescent="0.2">
      <c r="I292" s="98"/>
      <c r="J292" s="98"/>
    </row>
    <row r="293" spans="5:10" x14ac:dyDescent="0.2">
      <c r="I293" s="98"/>
      <c r="J293" s="98"/>
    </row>
    <row r="294" spans="5:10" x14ac:dyDescent="0.2">
      <c r="I294" s="98"/>
      <c r="J294" s="98"/>
    </row>
    <row r="295" spans="5:10" x14ac:dyDescent="0.2">
      <c r="I295" s="98"/>
      <c r="J295" s="98"/>
    </row>
    <row r="296" spans="5:10" x14ac:dyDescent="0.2">
      <c r="I296" s="98"/>
      <c r="J296" s="98"/>
    </row>
    <row r="297" spans="5:10" x14ac:dyDescent="0.2">
      <c r="I297" s="98"/>
      <c r="J297" s="98"/>
    </row>
    <row r="298" spans="5:10" x14ac:dyDescent="0.2">
      <c r="I298" s="98"/>
      <c r="J298" s="98"/>
    </row>
    <row r="299" spans="5:10" x14ac:dyDescent="0.2">
      <c r="I299" s="98"/>
      <c r="J299" s="98"/>
    </row>
  </sheetData>
  <mergeCells count="19">
    <mergeCell ref="A1:J1"/>
    <mergeCell ref="A2:A3"/>
    <mergeCell ref="B2:B3"/>
    <mergeCell ref="C2:D2"/>
    <mergeCell ref="E2:F2"/>
    <mergeCell ref="G2:H2"/>
    <mergeCell ref="I2:J2"/>
    <mergeCell ref="A43:I43"/>
    <mergeCell ref="A4:J4"/>
    <mergeCell ref="B5:J5"/>
    <mergeCell ref="B9:J9"/>
    <mergeCell ref="B17:J17"/>
    <mergeCell ref="B23:J23"/>
    <mergeCell ref="A27:B27"/>
    <mergeCell ref="A28:J28"/>
    <mergeCell ref="B29:J29"/>
    <mergeCell ref="B33:J33"/>
    <mergeCell ref="B37:J37"/>
    <mergeCell ref="A39:B39"/>
  </mergeCells>
  <pageMargins left="0.7" right="0.7" top="0.75" bottom="0.75" header="0.3" footer="0.3"/>
  <pageSetup paperSize="9" scale="71"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zoomScaleNormal="115" zoomScaleSheetLayoutView="100" workbookViewId="0">
      <selection sqref="A1:J1"/>
    </sheetView>
  </sheetViews>
  <sheetFormatPr defaultRowHeight="12.75" x14ac:dyDescent="0.2"/>
  <cols>
    <col min="1" max="1" width="7.140625" style="98" bestFit="1" customWidth="1"/>
    <col min="2" max="2" width="18.7109375" style="98" customWidth="1"/>
    <col min="3" max="3" width="11.140625" style="98" bestFit="1" customWidth="1"/>
    <col min="4" max="5" width="12.85546875" style="98" customWidth="1"/>
    <col min="6" max="6" width="9.85546875" style="98" customWidth="1"/>
    <col min="7" max="7" width="7.7109375" style="98" bestFit="1" customWidth="1"/>
    <col min="8" max="8" width="9" style="98" bestFit="1" customWidth="1"/>
    <col min="9" max="9" width="10.7109375" style="98" customWidth="1"/>
    <col min="10" max="10" width="8.85546875" style="98" bestFit="1" customWidth="1"/>
    <col min="11" max="16384" width="9.140625" style="98"/>
  </cols>
  <sheetData>
    <row r="1" spans="1:11" ht="15" customHeight="1" x14ac:dyDescent="0.25">
      <c r="A1" s="789" t="s">
        <v>1054</v>
      </c>
      <c r="B1" s="789"/>
      <c r="C1" s="789"/>
      <c r="D1" s="789"/>
      <c r="E1" s="789"/>
      <c r="F1" s="789"/>
      <c r="G1" s="789"/>
      <c r="H1" s="789"/>
      <c r="I1" s="789"/>
      <c r="J1" s="789"/>
    </row>
    <row r="2" spans="1:11" ht="15" customHeight="1" x14ac:dyDescent="0.2">
      <c r="A2" s="729" t="s">
        <v>764</v>
      </c>
      <c r="B2" s="790" t="s">
        <v>799</v>
      </c>
      <c r="C2" s="783" t="s">
        <v>6</v>
      </c>
      <c r="D2" s="784"/>
      <c r="E2" s="783">
        <v>43237</v>
      </c>
      <c r="F2" s="784"/>
      <c r="G2" s="783">
        <v>43556</v>
      </c>
      <c r="H2" s="784"/>
      <c r="I2" s="783">
        <v>43603</v>
      </c>
      <c r="J2" s="784"/>
    </row>
    <row r="3" spans="1:11" ht="60" x14ac:dyDescent="0.2">
      <c r="A3" s="729"/>
      <c r="B3" s="791"/>
      <c r="C3" s="388" t="s">
        <v>744</v>
      </c>
      <c r="D3" s="350" t="s">
        <v>1014</v>
      </c>
      <c r="E3" s="388" t="s">
        <v>744</v>
      </c>
      <c r="F3" s="350" t="s">
        <v>1014</v>
      </c>
      <c r="G3" s="388" t="s">
        <v>744</v>
      </c>
      <c r="H3" s="388" t="s">
        <v>800</v>
      </c>
      <c r="I3" s="388" t="s">
        <v>716</v>
      </c>
      <c r="J3" s="350" t="s">
        <v>1014</v>
      </c>
    </row>
    <row r="4" spans="1:11" ht="15" customHeight="1" x14ac:dyDescent="0.25">
      <c r="A4" s="785" t="s">
        <v>691</v>
      </c>
      <c r="B4" s="786"/>
      <c r="C4" s="786"/>
      <c r="D4" s="786"/>
      <c r="E4" s="786"/>
      <c r="F4" s="786"/>
      <c r="G4" s="786"/>
      <c r="H4" s="786"/>
      <c r="I4" s="786"/>
      <c r="J4" s="787"/>
    </row>
    <row r="5" spans="1:11" ht="15" x14ac:dyDescent="0.25">
      <c r="A5" s="425">
        <v>1</v>
      </c>
      <c r="B5" s="391" t="s">
        <v>801</v>
      </c>
      <c r="C5" s="393">
        <v>62.03</v>
      </c>
      <c r="D5" s="393">
        <v>112.77793</v>
      </c>
      <c r="E5" s="393">
        <v>70.05</v>
      </c>
      <c r="F5" s="393">
        <v>101.86</v>
      </c>
      <c r="G5" s="393">
        <v>37.170000000000009</v>
      </c>
      <c r="H5" s="393">
        <v>66.150439999999989</v>
      </c>
      <c r="I5" s="393">
        <v>24.859999999999996</v>
      </c>
      <c r="J5" s="393">
        <v>46.627490000000002</v>
      </c>
      <c r="K5" s="102">
        <f>(J5-H5)/H5*100</f>
        <v>-29.512955620552166</v>
      </c>
    </row>
    <row r="6" spans="1:11" ht="15" x14ac:dyDescent="0.25">
      <c r="A6" s="425">
        <v>2</v>
      </c>
      <c r="B6" s="391" t="s">
        <v>802</v>
      </c>
      <c r="C6" s="393">
        <v>3734.2900000000004</v>
      </c>
      <c r="D6" s="393">
        <v>21637.79694</v>
      </c>
      <c r="E6" s="393">
        <v>746.84</v>
      </c>
      <c r="F6" s="393">
        <v>3002.7899999999991</v>
      </c>
      <c r="G6" s="393">
        <v>2096.665</v>
      </c>
      <c r="H6" s="393">
        <v>12159.881160000001</v>
      </c>
      <c r="I6" s="393">
        <v>1637.6250000000005</v>
      </c>
      <c r="J6" s="393">
        <v>9477.9157799999994</v>
      </c>
      <c r="K6" s="103">
        <f t="shared" ref="K6:K21" si="0">(J6-H6)/H6*100</f>
        <v>-22.055851901105267</v>
      </c>
    </row>
    <row r="7" spans="1:11" ht="15" x14ac:dyDescent="0.25">
      <c r="A7" s="425">
        <v>3</v>
      </c>
      <c r="B7" s="391" t="s">
        <v>803</v>
      </c>
      <c r="C7" s="393">
        <v>2842.5899999999997</v>
      </c>
      <c r="D7" s="393">
        <v>12837.294110000001</v>
      </c>
      <c r="E7" s="393">
        <v>1105.96</v>
      </c>
      <c r="F7" s="393">
        <v>3978.1300000000015</v>
      </c>
      <c r="G7" s="393">
        <v>1175.8299999999997</v>
      </c>
      <c r="H7" s="393">
        <v>5260.2237200000009</v>
      </c>
      <c r="I7" s="393">
        <v>1666.76</v>
      </c>
      <c r="J7" s="393">
        <v>7577.0703899999999</v>
      </c>
      <c r="K7" s="103">
        <f t="shared" si="0"/>
        <v>44.044641318031211</v>
      </c>
    </row>
    <row r="8" spans="1:11" ht="15" x14ac:dyDescent="0.25">
      <c r="A8" s="425">
        <f>A7+1</f>
        <v>4</v>
      </c>
      <c r="B8" s="391" t="s">
        <v>804</v>
      </c>
      <c r="C8" s="393">
        <v>3014.6900000000005</v>
      </c>
      <c r="D8" s="393">
        <v>7683.2938300000005</v>
      </c>
      <c r="E8" s="393">
        <v>1840.81</v>
      </c>
      <c r="F8" s="393">
        <v>2390.6800000000012</v>
      </c>
      <c r="G8" s="393">
        <v>1499.9700000000003</v>
      </c>
      <c r="H8" s="393">
        <v>3627.2631300000007</v>
      </c>
      <c r="I8" s="393">
        <v>1514.72</v>
      </c>
      <c r="J8" s="393">
        <v>4056.0307000000003</v>
      </c>
      <c r="K8" s="103">
        <f t="shared" si="0"/>
        <v>11.820691100510247</v>
      </c>
    </row>
    <row r="9" spans="1:11" ht="15" x14ac:dyDescent="0.25">
      <c r="A9" s="425">
        <f t="shared" ref="A9:A20" si="1">A8+1</f>
        <v>5</v>
      </c>
      <c r="B9" s="391" t="s">
        <v>805</v>
      </c>
      <c r="C9" s="393">
        <v>587.29999999999995</v>
      </c>
      <c r="D9" s="393">
        <v>4278.944230000001</v>
      </c>
      <c r="E9" s="393">
        <v>255.55</v>
      </c>
      <c r="F9" s="393">
        <v>1206.17</v>
      </c>
      <c r="G9" s="393">
        <v>307.09999999999991</v>
      </c>
      <c r="H9" s="393">
        <v>2215.6226300000003</v>
      </c>
      <c r="I9" s="393">
        <v>280.2</v>
      </c>
      <c r="J9" s="393">
        <v>2063.3216000000002</v>
      </c>
      <c r="K9" s="103">
        <f t="shared" si="0"/>
        <v>-6.8739607520618282</v>
      </c>
    </row>
    <row r="10" spans="1:11" ht="15" x14ac:dyDescent="0.25">
      <c r="A10" s="425">
        <f t="shared" si="1"/>
        <v>6</v>
      </c>
      <c r="B10" s="391" t="s">
        <v>806</v>
      </c>
      <c r="C10" s="393">
        <v>3189.13</v>
      </c>
      <c r="D10" s="393">
        <v>14114.703525000001</v>
      </c>
      <c r="E10" s="393">
        <v>2037.5900000000001</v>
      </c>
      <c r="F10" s="393">
        <v>7753.7099999999991</v>
      </c>
      <c r="G10" s="393">
        <v>1610.21</v>
      </c>
      <c r="H10" s="393">
        <v>7140.3029099999994</v>
      </c>
      <c r="I10" s="393">
        <v>1578.9199999999998</v>
      </c>
      <c r="J10" s="393">
        <v>6974.4006150000014</v>
      </c>
      <c r="K10" s="103">
        <f t="shared" si="0"/>
        <v>-2.323462983169128</v>
      </c>
    </row>
    <row r="11" spans="1:11" ht="15" x14ac:dyDescent="0.25">
      <c r="A11" s="425">
        <f t="shared" si="1"/>
        <v>7</v>
      </c>
      <c r="B11" s="391" t="s">
        <v>807</v>
      </c>
      <c r="C11" s="393">
        <v>840.66499999999996</v>
      </c>
      <c r="D11" s="393">
        <v>7493.7567700000009</v>
      </c>
      <c r="E11" s="393">
        <v>498.44</v>
      </c>
      <c r="F11" s="393">
        <v>4114.8100000000013</v>
      </c>
      <c r="G11" s="393">
        <v>425.59</v>
      </c>
      <c r="H11" s="393">
        <v>3815.41374</v>
      </c>
      <c r="I11" s="393">
        <v>415.07500000000005</v>
      </c>
      <c r="J11" s="393">
        <v>3678.3430300000009</v>
      </c>
      <c r="K11" s="103">
        <f t="shared" si="0"/>
        <v>-3.5925516691146333</v>
      </c>
    </row>
    <row r="12" spans="1:11" ht="15" x14ac:dyDescent="0.25">
      <c r="A12" s="425">
        <f t="shared" si="1"/>
        <v>8</v>
      </c>
      <c r="B12" s="391" t="s">
        <v>808</v>
      </c>
      <c r="C12" s="393">
        <v>164.00399999999999</v>
      </c>
      <c r="D12" s="393">
        <v>2790.35061</v>
      </c>
      <c r="E12" s="393">
        <v>76.134</v>
      </c>
      <c r="F12" s="393">
        <v>1212.97</v>
      </c>
      <c r="G12" s="393">
        <v>82.131</v>
      </c>
      <c r="H12" s="393">
        <v>1359.7781849999999</v>
      </c>
      <c r="I12" s="393">
        <v>81.87299999999999</v>
      </c>
      <c r="J12" s="393">
        <v>1430.5724250000001</v>
      </c>
      <c r="K12" s="103">
        <f t="shared" si="0"/>
        <v>5.2063079685309246</v>
      </c>
    </row>
    <row r="13" spans="1:11" ht="15" x14ac:dyDescent="0.25">
      <c r="A13" s="425">
        <f t="shared" si="1"/>
        <v>9</v>
      </c>
      <c r="B13" s="391" t="s">
        <v>809</v>
      </c>
      <c r="C13" s="393">
        <v>229.26000000000002</v>
      </c>
      <c r="D13" s="393">
        <v>1370.3551399999999</v>
      </c>
      <c r="E13" s="393" t="s">
        <v>281</v>
      </c>
      <c r="F13" s="393" t="s">
        <v>281</v>
      </c>
      <c r="G13" s="393">
        <v>172.91600000000003</v>
      </c>
      <c r="H13" s="393">
        <v>1044.2541999999999</v>
      </c>
      <c r="I13" s="393">
        <v>56.343999999999994</v>
      </c>
      <c r="J13" s="393">
        <v>326.10094000000004</v>
      </c>
      <c r="K13" s="103">
        <f t="shared" si="0"/>
        <v>-68.771881405887555</v>
      </c>
    </row>
    <row r="14" spans="1:11" ht="15" x14ac:dyDescent="0.25">
      <c r="A14" s="425">
        <f t="shared" si="1"/>
        <v>10</v>
      </c>
      <c r="B14" s="391" t="s">
        <v>810</v>
      </c>
      <c r="C14" s="393">
        <v>24.6</v>
      </c>
      <c r="D14" s="393">
        <v>46.755660000000006</v>
      </c>
      <c r="E14" s="393">
        <v>26.49</v>
      </c>
      <c r="F14" s="393">
        <v>31.640000000000004</v>
      </c>
      <c r="G14" s="393">
        <v>8.27</v>
      </c>
      <c r="H14" s="393">
        <v>15.501830000000002</v>
      </c>
      <c r="I14" s="393">
        <v>16.330000000000002</v>
      </c>
      <c r="J14" s="393">
        <v>31.253830000000001</v>
      </c>
      <c r="K14" s="103">
        <f t="shared" si="0"/>
        <v>101.61380946636621</v>
      </c>
    </row>
    <row r="15" spans="1:11" ht="15" x14ac:dyDescent="0.25">
      <c r="A15" s="425">
        <f t="shared" si="1"/>
        <v>11</v>
      </c>
      <c r="B15" s="391" t="s">
        <v>811</v>
      </c>
      <c r="C15" s="393">
        <v>1635.63</v>
      </c>
      <c r="D15" s="393">
        <v>6299.3275300000005</v>
      </c>
      <c r="E15" s="393">
        <v>1213.99</v>
      </c>
      <c r="F15" s="393">
        <v>4765.2999999999975</v>
      </c>
      <c r="G15" s="393">
        <v>662.75</v>
      </c>
      <c r="H15" s="393">
        <v>2517.7128600000001</v>
      </c>
      <c r="I15" s="393">
        <v>972.88000000000011</v>
      </c>
      <c r="J15" s="393">
        <v>3781.6146699999999</v>
      </c>
      <c r="K15" s="103">
        <f t="shared" si="0"/>
        <v>50.200395369946982</v>
      </c>
    </row>
    <row r="16" spans="1:11" ht="15" x14ac:dyDescent="0.25">
      <c r="A16" s="425">
        <f t="shared" si="1"/>
        <v>12</v>
      </c>
      <c r="B16" s="391" t="s">
        <v>812</v>
      </c>
      <c r="C16" s="426" t="s">
        <v>281</v>
      </c>
      <c r="D16" s="392" t="s">
        <v>281</v>
      </c>
      <c r="E16" s="392">
        <v>0.09</v>
      </c>
      <c r="F16" s="392">
        <v>0.25</v>
      </c>
      <c r="G16" s="426" t="s">
        <v>281</v>
      </c>
      <c r="H16" s="426" t="s">
        <v>281</v>
      </c>
      <c r="I16" s="426" t="s">
        <v>281</v>
      </c>
      <c r="J16" s="426" t="s">
        <v>281</v>
      </c>
      <c r="K16" s="103"/>
    </row>
    <row r="17" spans="1:11" ht="15" x14ac:dyDescent="0.25">
      <c r="A17" s="425">
        <f t="shared" si="1"/>
        <v>13</v>
      </c>
      <c r="B17" s="391" t="s">
        <v>813</v>
      </c>
      <c r="C17" s="393">
        <v>2204.1399999999994</v>
      </c>
      <c r="D17" s="393">
        <v>8261.9079299999994</v>
      </c>
      <c r="E17" s="393">
        <v>1403.5</v>
      </c>
      <c r="F17" s="393">
        <v>5213.9800000000014</v>
      </c>
      <c r="G17" s="393">
        <v>1140.21</v>
      </c>
      <c r="H17" s="393">
        <v>4305.5646000000006</v>
      </c>
      <c r="I17" s="393">
        <v>1063.9299999999996</v>
      </c>
      <c r="J17" s="393">
        <v>3956.3433299999992</v>
      </c>
      <c r="K17" s="103">
        <f t="shared" si="0"/>
        <v>-8.1109285876235901</v>
      </c>
    </row>
    <row r="18" spans="1:11" ht="15" x14ac:dyDescent="0.25">
      <c r="A18" s="425">
        <f t="shared" si="1"/>
        <v>14</v>
      </c>
      <c r="B18" s="391" t="s">
        <v>814</v>
      </c>
      <c r="C18" s="393">
        <v>911.06000000000006</v>
      </c>
      <c r="D18" s="393">
        <v>6682.2943799999994</v>
      </c>
      <c r="E18" s="393">
        <v>815.74</v>
      </c>
      <c r="F18" s="393">
        <v>6277.9399999999987</v>
      </c>
      <c r="G18" s="393">
        <v>449.07000000000005</v>
      </c>
      <c r="H18" s="393">
        <v>3278.9324299999994</v>
      </c>
      <c r="I18" s="393">
        <v>461.99</v>
      </c>
      <c r="J18" s="393">
        <v>3403.3619500000004</v>
      </c>
      <c r="K18" s="103">
        <f t="shared" si="0"/>
        <v>3.794818059120574</v>
      </c>
    </row>
    <row r="19" spans="1:11" ht="15" x14ac:dyDescent="0.25">
      <c r="A19" s="425">
        <f t="shared" si="1"/>
        <v>15</v>
      </c>
      <c r="B19" s="391" t="s">
        <v>815</v>
      </c>
      <c r="C19" s="393">
        <v>358.27</v>
      </c>
      <c r="D19" s="393">
        <v>2420.56034</v>
      </c>
      <c r="E19" s="393">
        <v>219.91</v>
      </c>
      <c r="F19" s="393">
        <v>1622.86</v>
      </c>
      <c r="G19" s="393">
        <v>144.36500000000001</v>
      </c>
      <c r="H19" s="393">
        <v>942.86901999999998</v>
      </c>
      <c r="I19" s="393">
        <v>213.90499999999997</v>
      </c>
      <c r="J19" s="393">
        <v>1477.6913199999999</v>
      </c>
      <c r="K19" s="103">
        <f t="shared" si="0"/>
        <v>56.722862736544243</v>
      </c>
    </row>
    <row r="20" spans="1:11" ht="15" x14ac:dyDescent="0.25">
      <c r="A20" s="425">
        <f t="shared" si="1"/>
        <v>16</v>
      </c>
      <c r="B20" s="391" t="s">
        <v>816</v>
      </c>
      <c r="C20" s="393">
        <v>76.460000000000008</v>
      </c>
      <c r="D20" s="393">
        <v>149.32232999999999</v>
      </c>
      <c r="E20" s="393">
        <v>36.01</v>
      </c>
      <c r="F20" s="393">
        <v>64.77000000000001</v>
      </c>
      <c r="G20" s="393">
        <v>14.210000000000003</v>
      </c>
      <c r="H20" s="393">
        <v>26.513770000000001</v>
      </c>
      <c r="I20" s="393">
        <v>62.25</v>
      </c>
      <c r="J20" s="393">
        <v>122.80856</v>
      </c>
      <c r="K20" s="103">
        <f t="shared" si="0"/>
        <v>363.18784541013974</v>
      </c>
    </row>
    <row r="21" spans="1:11" ht="15" x14ac:dyDescent="0.25">
      <c r="A21" s="427"/>
      <c r="B21" s="397" t="s">
        <v>64</v>
      </c>
      <c r="C21" s="398">
        <f t="shared" ref="C21:J21" si="2">SUM(C5:C20)</f>
        <v>19874.119000000002</v>
      </c>
      <c r="D21" s="398">
        <f t="shared" si="2"/>
        <v>96179.441254999983</v>
      </c>
      <c r="E21" s="398">
        <f t="shared" si="2"/>
        <v>10347.103999999999</v>
      </c>
      <c r="F21" s="398">
        <f t="shared" si="2"/>
        <v>41737.860000000008</v>
      </c>
      <c r="G21" s="398">
        <f t="shared" si="2"/>
        <v>9826.4570000000003</v>
      </c>
      <c r="H21" s="398">
        <f t="shared" si="2"/>
        <v>47775.984625000005</v>
      </c>
      <c r="I21" s="398">
        <f t="shared" si="2"/>
        <v>10047.662</v>
      </c>
      <c r="J21" s="398">
        <f t="shared" si="2"/>
        <v>48403.456629999993</v>
      </c>
      <c r="K21" s="102">
        <f t="shared" si="0"/>
        <v>1.3133627907935317</v>
      </c>
    </row>
    <row r="22" spans="1:11" ht="12.75" customHeight="1" x14ac:dyDescent="0.2">
      <c r="A22" s="788" t="s">
        <v>692</v>
      </c>
      <c r="B22" s="788"/>
      <c r="C22" s="788"/>
      <c r="D22" s="788"/>
      <c r="E22" s="788"/>
      <c r="F22" s="788"/>
      <c r="G22" s="788"/>
      <c r="H22" s="788"/>
      <c r="I22" s="788"/>
      <c r="J22" s="788"/>
    </row>
    <row r="23" spans="1:11" ht="15" x14ac:dyDescent="0.25">
      <c r="A23" s="428">
        <v>1</v>
      </c>
      <c r="B23" s="391" t="s">
        <v>803</v>
      </c>
      <c r="C23" s="415">
        <v>10</v>
      </c>
      <c r="D23" s="415">
        <v>0.45999999999999996</v>
      </c>
      <c r="E23" s="415" t="s">
        <v>281</v>
      </c>
      <c r="F23" s="415" t="s">
        <v>281</v>
      </c>
      <c r="G23" s="415">
        <v>8</v>
      </c>
      <c r="H23" s="415">
        <v>0.37</v>
      </c>
      <c r="I23" s="415">
        <v>2</v>
      </c>
      <c r="J23" s="415">
        <v>0.09</v>
      </c>
    </row>
    <row r="24" spans="1:11" ht="15" x14ac:dyDescent="0.25">
      <c r="A24" s="428">
        <v>2</v>
      </c>
      <c r="B24" s="391" t="s">
        <v>807</v>
      </c>
      <c r="C24" s="415">
        <v>0</v>
      </c>
      <c r="D24" s="415">
        <v>0</v>
      </c>
      <c r="E24" s="415" t="s">
        <v>281</v>
      </c>
      <c r="F24" s="415" t="s">
        <v>281</v>
      </c>
      <c r="G24" s="415">
        <v>0</v>
      </c>
      <c r="H24" s="415">
        <v>0</v>
      </c>
      <c r="I24" s="415">
        <v>0</v>
      </c>
      <c r="J24" s="415">
        <v>0</v>
      </c>
    </row>
    <row r="25" spans="1:11" ht="15" x14ac:dyDescent="0.25">
      <c r="A25" s="428">
        <v>3</v>
      </c>
      <c r="B25" s="391" t="s">
        <v>817</v>
      </c>
      <c r="C25" s="415">
        <v>41</v>
      </c>
      <c r="D25" s="415">
        <v>1.8499999999999999</v>
      </c>
      <c r="E25" s="415">
        <v>3.35</v>
      </c>
      <c r="F25" s="415">
        <v>13.3</v>
      </c>
      <c r="G25" s="415">
        <v>9</v>
      </c>
      <c r="H25" s="415">
        <v>0.41</v>
      </c>
      <c r="I25" s="415">
        <v>32</v>
      </c>
      <c r="J25" s="415">
        <v>1.44</v>
      </c>
    </row>
    <row r="26" spans="1:11" ht="15" x14ac:dyDescent="0.25">
      <c r="A26" s="428">
        <v>4</v>
      </c>
      <c r="B26" s="391" t="s">
        <v>818</v>
      </c>
      <c r="C26" s="415">
        <v>0</v>
      </c>
      <c r="D26" s="415">
        <v>0</v>
      </c>
      <c r="E26" s="415" t="s">
        <v>281</v>
      </c>
      <c r="F26" s="415" t="s">
        <v>281</v>
      </c>
      <c r="G26" s="415">
        <v>0</v>
      </c>
      <c r="H26" s="415">
        <v>0</v>
      </c>
      <c r="I26" s="415">
        <v>0</v>
      </c>
      <c r="J26" s="415">
        <v>0</v>
      </c>
    </row>
    <row r="27" spans="1:11" ht="15" x14ac:dyDescent="0.25">
      <c r="A27" s="428">
        <v>5</v>
      </c>
      <c r="B27" s="391" t="s">
        <v>819</v>
      </c>
      <c r="C27" s="415">
        <v>0</v>
      </c>
      <c r="D27" s="415">
        <v>0</v>
      </c>
      <c r="E27" s="415" t="s">
        <v>281</v>
      </c>
      <c r="F27" s="415" t="s">
        <v>281</v>
      </c>
      <c r="G27" s="415">
        <v>0</v>
      </c>
      <c r="H27" s="415">
        <v>0</v>
      </c>
      <c r="I27" s="415">
        <v>0</v>
      </c>
      <c r="J27" s="415">
        <v>0</v>
      </c>
    </row>
    <row r="28" spans="1:11" ht="15" x14ac:dyDescent="0.25">
      <c r="A28" s="391"/>
      <c r="B28" s="397" t="s">
        <v>64</v>
      </c>
      <c r="C28" s="429">
        <f t="shared" ref="C28:J28" si="3">SUM(C23:C27)</f>
        <v>51</v>
      </c>
      <c r="D28" s="429">
        <f t="shared" si="3"/>
        <v>2.3099999999999996</v>
      </c>
      <c r="E28" s="429">
        <f t="shared" si="3"/>
        <v>3.35</v>
      </c>
      <c r="F28" s="429">
        <f t="shared" si="3"/>
        <v>13.3</v>
      </c>
      <c r="G28" s="429">
        <f t="shared" si="3"/>
        <v>17</v>
      </c>
      <c r="H28" s="429">
        <f t="shared" si="3"/>
        <v>0.78</v>
      </c>
      <c r="I28" s="429">
        <f t="shared" si="3"/>
        <v>34</v>
      </c>
      <c r="J28" s="429">
        <f t="shared" si="3"/>
        <v>1.53</v>
      </c>
    </row>
    <row r="29" spans="1:11" x14ac:dyDescent="0.2">
      <c r="A29" s="419" t="str">
        <f>'[1]66'!A8</f>
        <v>$ indicates as on May 31, 2019</v>
      </c>
      <c r="B29" s="430"/>
      <c r="C29" s="423"/>
      <c r="D29" s="423"/>
      <c r="E29" s="274"/>
      <c r="F29" s="274"/>
      <c r="G29" s="274" t="s">
        <v>704</v>
      </c>
      <c r="H29" s="274" t="s">
        <v>704</v>
      </c>
      <c r="I29" s="274" t="s">
        <v>704</v>
      </c>
      <c r="J29" s="274"/>
    </row>
    <row r="30" spans="1:11" x14ac:dyDescent="0.2">
      <c r="A30" s="431" t="s">
        <v>820</v>
      </c>
      <c r="B30" s="430"/>
      <c r="C30" s="423"/>
      <c r="D30" s="423"/>
      <c r="E30" s="274" t="s">
        <v>704</v>
      </c>
      <c r="F30" s="274"/>
      <c r="G30" s="274" t="s">
        <v>704</v>
      </c>
      <c r="H30" s="272"/>
      <c r="I30" s="274"/>
      <c r="J30" s="274"/>
    </row>
    <row r="31" spans="1:11" x14ac:dyDescent="0.2">
      <c r="A31" s="430" t="s">
        <v>739</v>
      </c>
      <c r="B31" s="423"/>
      <c r="C31" s="423"/>
      <c r="D31" s="423"/>
      <c r="E31" s="274"/>
      <c r="F31" s="274"/>
      <c r="G31" s="274"/>
      <c r="H31" s="274"/>
      <c r="I31" s="274" t="s">
        <v>704</v>
      </c>
      <c r="J31" s="274"/>
    </row>
  </sheetData>
  <mergeCells count="9">
    <mergeCell ref="A4:J4"/>
    <mergeCell ref="A22:J22"/>
    <mergeCell ref="A1:J1"/>
    <mergeCell ref="A2:A3"/>
    <mergeCell ref="B2:B3"/>
    <mergeCell ref="C2:D2"/>
    <mergeCell ref="E2:F2"/>
    <mergeCell ref="G2:H2"/>
    <mergeCell ref="I2:J2"/>
  </mergeCells>
  <pageMargins left="0.7" right="0.7" top="0.75" bottom="0.75" header="0.3" footer="0.3"/>
  <pageSetup paperSize="9" scale="82"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zoomScaleNormal="115" zoomScaleSheetLayoutView="100" workbookViewId="0"/>
  </sheetViews>
  <sheetFormatPr defaultRowHeight="12.75" x14ac:dyDescent="0.2"/>
  <cols>
    <col min="1" max="1" width="5.7109375" style="98" bestFit="1" customWidth="1"/>
    <col min="2" max="2" width="20.42578125" style="98" customWidth="1"/>
    <col min="3" max="3" width="11.42578125" style="98" customWidth="1"/>
    <col min="4" max="4" width="13.85546875" style="98" customWidth="1"/>
    <col min="5" max="5" width="16.85546875" style="98" customWidth="1"/>
    <col min="6" max="6" width="13.28515625" style="98" customWidth="1"/>
    <col min="7" max="7" width="11.140625" style="98" customWidth="1"/>
    <col min="8" max="8" width="12.85546875" style="98" customWidth="1"/>
    <col min="9" max="9" width="11.140625" style="98" customWidth="1"/>
    <col min="10" max="10" width="15.42578125" style="98" customWidth="1"/>
    <col min="11" max="16384" width="9.140625" style="98"/>
  </cols>
  <sheetData>
    <row r="1" spans="1:12" ht="15" x14ac:dyDescent="0.2">
      <c r="A1" s="135" t="s">
        <v>1064</v>
      </c>
      <c r="B1" s="105"/>
      <c r="C1" s="105"/>
      <c r="D1" s="105"/>
      <c r="E1" s="105"/>
      <c r="F1" s="105"/>
      <c r="G1" s="105"/>
      <c r="H1" s="105"/>
      <c r="I1" s="105"/>
      <c r="J1" s="105"/>
    </row>
    <row r="2" spans="1:12" ht="12.75" customHeight="1" x14ac:dyDescent="0.2">
      <c r="A2" s="802" t="s">
        <v>764</v>
      </c>
      <c r="B2" s="802" t="s">
        <v>765</v>
      </c>
      <c r="C2" s="800" t="s">
        <v>6</v>
      </c>
      <c r="D2" s="801"/>
      <c r="E2" s="800">
        <v>43248</v>
      </c>
      <c r="F2" s="801"/>
      <c r="G2" s="800">
        <v>43556</v>
      </c>
      <c r="H2" s="801"/>
      <c r="I2" s="800">
        <v>43586</v>
      </c>
      <c r="J2" s="801"/>
    </row>
    <row r="3" spans="1:12" ht="45" x14ac:dyDescent="0.2">
      <c r="A3" s="803"/>
      <c r="B3" s="803"/>
      <c r="C3" s="432" t="s">
        <v>735</v>
      </c>
      <c r="D3" s="433" t="s">
        <v>1014</v>
      </c>
      <c r="E3" s="432" t="s">
        <v>735</v>
      </c>
      <c r="F3" s="433" t="s">
        <v>1014</v>
      </c>
      <c r="G3" s="432" t="s">
        <v>735</v>
      </c>
      <c r="H3" s="433" t="s">
        <v>1014</v>
      </c>
      <c r="I3" s="432" t="s">
        <v>735</v>
      </c>
      <c r="J3" s="433" t="s">
        <v>1014</v>
      </c>
    </row>
    <row r="4" spans="1:12" ht="15" x14ac:dyDescent="0.2">
      <c r="A4" s="434" t="s">
        <v>821</v>
      </c>
      <c r="B4" s="793" t="s">
        <v>703</v>
      </c>
      <c r="C4" s="794"/>
      <c r="D4" s="794"/>
      <c r="E4" s="794"/>
      <c r="F4" s="794"/>
      <c r="G4" s="794"/>
      <c r="H4" s="794"/>
      <c r="I4" s="794"/>
      <c r="J4" s="795"/>
    </row>
    <row r="5" spans="1:12" ht="15" x14ac:dyDescent="0.2">
      <c r="A5" s="428">
        <v>1</v>
      </c>
      <c r="B5" s="435" t="s">
        <v>822</v>
      </c>
      <c r="C5" s="436">
        <v>0</v>
      </c>
      <c r="D5" s="436">
        <v>0</v>
      </c>
      <c r="E5" s="320">
        <v>94.68</v>
      </c>
      <c r="F5" s="320">
        <v>382.69004999999993</v>
      </c>
      <c r="G5" s="436">
        <v>0</v>
      </c>
      <c r="H5" s="436">
        <v>0</v>
      </c>
      <c r="I5" s="436">
        <v>0</v>
      </c>
      <c r="J5" s="436">
        <v>0</v>
      </c>
    </row>
    <row r="6" spans="1:12" ht="15" x14ac:dyDescent="0.2">
      <c r="A6" s="428">
        <v>2</v>
      </c>
      <c r="B6" s="435" t="s">
        <v>823</v>
      </c>
      <c r="C6" s="436">
        <v>0</v>
      </c>
      <c r="D6" s="436">
        <v>0</v>
      </c>
      <c r="E6" s="320">
        <v>95.817999999999998</v>
      </c>
      <c r="F6" s="320">
        <v>365.81730600000009</v>
      </c>
      <c r="G6" s="436">
        <v>0</v>
      </c>
      <c r="H6" s="436">
        <v>0</v>
      </c>
      <c r="I6" s="436">
        <v>0</v>
      </c>
      <c r="J6" s="436">
        <v>0</v>
      </c>
    </row>
    <row r="7" spans="1:12" ht="15" x14ac:dyDescent="0.2">
      <c r="A7" s="428">
        <v>3</v>
      </c>
      <c r="B7" s="435" t="s">
        <v>824</v>
      </c>
      <c r="C7" s="320">
        <v>82.22</v>
      </c>
      <c r="D7" s="320">
        <v>87.03</v>
      </c>
      <c r="E7" s="320">
        <v>73.325249999999997</v>
      </c>
      <c r="F7" s="320">
        <v>612.30552799999998</v>
      </c>
      <c r="G7" s="437">
        <v>22.98</v>
      </c>
      <c r="H7" s="437">
        <v>23.98</v>
      </c>
      <c r="I7" s="437">
        <v>59.24</v>
      </c>
      <c r="J7" s="437">
        <v>63.05</v>
      </c>
    </row>
    <row r="8" spans="1:12" ht="15" x14ac:dyDescent="0.2">
      <c r="A8" s="428">
        <v>4</v>
      </c>
      <c r="B8" s="435" t="s">
        <v>825</v>
      </c>
      <c r="C8" s="438">
        <v>0.19</v>
      </c>
      <c r="D8" s="437">
        <v>68.33</v>
      </c>
      <c r="E8" s="439">
        <v>2.0899999999999992E-2</v>
      </c>
      <c r="F8" s="320">
        <v>0.79131500000000021</v>
      </c>
      <c r="G8" s="436">
        <v>0</v>
      </c>
      <c r="H8" s="436">
        <v>0</v>
      </c>
      <c r="I8" s="438">
        <v>0.19</v>
      </c>
      <c r="J8" s="437">
        <v>68.33</v>
      </c>
    </row>
    <row r="9" spans="1:12" ht="15" x14ac:dyDescent="0.2">
      <c r="A9" s="428">
        <v>5</v>
      </c>
      <c r="B9" s="435" t="s">
        <v>826</v>
      </c>
      <c r="C9" s="436">
        <v>0</v>
      </c>
      <c r="D9" s="436">
        <v>0</v>
      </c>
      <c r="E9" s="320">
        <v>245.1</v>
      </c>
      <c r="F9" s="320">
        <v>870.02698499999974</v>
      </c>
      <c r="G9" s="436">
        <v>0</v>
      </c>
      <c r="H9" s="436">
        <v>0</v>
      </c>
      <c r="I9" s="436">
        <v>0</v>
      </c>
      <c r="J9" s="436">
        <v>0</v>
      </c>
      <c r="K9" s="98" t="s">
        <v>704</v>
      </c>
    </row>
    <row r="10" spans="1:12" ht="15" x14ac:dyDescent="0.2">
      <c r="A10" s="428">
        <v>6</v>
      </c>
      <c r="B10" s="435" t="s">
        <v>827</v>
      </c>
      <c r="C10" s="436">
        <v>0</v>
      </c>
      <c r="D10" s="436">
        <v>0</v>
      </c>
      <c r="E10" s="320">
        <v>163.44</v>
      </c>
      <c r="F10" s="320">
        <v>722.65214400000036</v>
      </c>
      <c r="G10" s="436">
        <v>0</v>
      </c>
      <c r="H10" s="436">
        <v>0</v>
      </c>
      <c r="I10" s="436">
        <v>0</v>
      </c>
      <c r="J10" s="436">
        <v>0</v>
      </c>
    </row>
    <row r="11" spans="1:12" ht="15" x14ac:dyDescent="0.2">
      <c r="A11" s="428">
        <v>7</v>
      </c>
      <c r="B11" s="435" t="s">
        <v>828</v>
      </c>
      <c r="C11" s="320">
        <v>37.724000000000004</v>
      </c>
      <c r="D11" s="320">
        <v>510.2</v>
      </c>
      <c r="E11" s="320">
        <v>13.111000000000001</v>
      </c>
      <c r="F11" s="320">
        <v>168.2181710000001</v>
      </c>
      <c r="G11" s="320">
        <v>16.524000000000001</v>
      </c>
      <c r="H11" s="320">
        <v>216.07</v>
      </c>
      <c r="I11" s="320">
        <v>21.2</v>
      </c>
      <c r="J11" s="320">
        <v>294.13</v>
      </c>
    </row>
    <row r="12" spans="1:12" ht="15" x14ac:dyDescent="0.2">
      <c r="A12" s="428">
        <v>8</v>
      </c>
      <c r="B12" s="440" t="s">
        <v>829</v>
      </c>
      <c r="C12" s="320">
        <v>210108.79999999999</v>
      </c>
      <c r="D12" s="320">
        <v>7334.7999999999993</v>
      </c>
      <c r="E12" s="320">
        <v>9200.0300000000007</v>
      </c>
      <c r="F12" s="320">
        <v>310.8</v>
      </c>
      <c r="G12" s="320">
        <v>104815.84</v>
      </c>
      <c r="H12" s="320">
        <v>3648.72</v>
      </c>
      <c r="I12" s="320">
        <v>105292.96</v>
      </c>
      <c r="J12" s="320">
        <v>3686.08</v>
      </c>
      <c r="L12" s="98" t="s">
        <v>704</v>
      </c>
    </row>
    <row r="13" spans="1:12" ht="15" x14ac:dyDescent="0.2">
      <c r="A13" s="428">
        <v>9</v>
      </c>
      <c r="B13" s="440" t="s">
        <v>830</v>
      </c>
      <c r="C13" s="320">
        <v>4651.12</v>
      </c>
      <c r="D13" s="320">
        <v>74.240000000000009</v>
      </c>
      <c r="E13" s="320">
        <v>3325.74</v>
      </c>
      <c r="F13" s="320">
        <v>51.6</v>
      </c>
      <c r="G13" s="320">
        <v>1797.78</v>
      </c>
      <c r="H13" s="320">
        <v>28.64</v>
      </c>
      <c r="I13" s="320">
        <v>2853.34</v>
      </c>
      <c r="J13" s="320">
        <v>45.6</v>
      </c>
    </row>
    <row r="14" spans="1:12" ht="15" x14ac:dyDescent="0.2">
      <c r="A14" s="428">
        <v>10</v>
      </c>
      <c r="B14" s="440" t="s">
        <v>831</v>
      </c>
      <c r="C14" s="320">
        <v>1.07</v>
      </c>
      <c r="D14" s="320">
        <v>0.01</v>
      </c>
      <c r="E14" s="320">
        <v>1.82</v>
      </c>
      <c r="F14" s="401">
        <v>0.02</v>
      </c>
      <c r="G14" s="401">
        <v>0.02</v>
      </c>
      <c r="H14" s="441">
        <v>2.0000000000000001E-4</v>
      </c>
      <c r="I14" s="436">
        <v>1.05</v>
      </c>
      <c r="J14" s="437">
        <v>0.01</v>
      </c>
    </row>
    <row r="15" spans="1:12" ht="15" x14ac:dyDescent="0.2">
      <c r="A15" s="428">
        <v>11</v>
      </c>
      <c r="B15" s="440" t="s">
        <v>832</v>
      </c>
      <c r="C15" s="320">
        <v>348.65999999999997</v>
      </c>
      <c r="D15" s="320">
        <v>1181.97</v>
      </c>
      <c r="E15" s="436">
        <v>0</v>
      </c>
      <c r="F15" s="436">
        <v>0</v>
      </c>
      <c r="G15" s="320">
        <v>157.54</v>
      </c>
      <c r="H15" s="320">
        <v>536.39</v>
      </c>
      <c r="I15" s="320">
        <v>191.12</v>
      </c>
      <c r="J15" s="320">
        <v>645.58000000000004</v>
      </c>
    </row>
    <row r="16" spans="1:12" ht="15" x14ac:dyDescent="0.2">
      <c r="A16" s="428"/>
      <c r="B16" s="442" t="s">
        <v>833</v>
      </c>
      <c r="C16" s="443">
        <f>SUM(C5:C15)</f>
        <v>215229.78399999999</v>
      </c>
      <c r="D16" s="443">
        <f>SUM(D5:D15)</f>
        <v>9256.5799999999981</v>
      </c>
      <c r="E16" s="443">
        <f t="shared" ref="E16:J16" si="0">SUM(E5:E15)</f>
        <v>13213.085150000001</v>
      </c>
      <c r="F16" s="443">
        <f t="shared" si="0"/>
        <v>3484.9214990000005</v>
      </c>
      <c r="G16" s="443">
        <f t="shared" si="0"/>
        <v>106810.68399999999</v>
      </c>
      <c r="H16" s="443">
        <f t="shared" si="0"/>
        <v>4453.8001999999997</v>
      </c>
      <c r="I16" s="443">
        <f t="shared" si="0"/>
        <v>108419.1</v>
      </c>
      <c r="J16" s="443">
        <f t="shared" si="0"/>
        <v>4802.7800000000007</v>
      </c>
      <c r="K16" s="107"/>
    </row>
    <row r="17" spans="1:13" ht="15" x14ac:dyDescent="0.2">
      <c r="A17" s="444" t="s">
        <v>834</v>
      </c>
      <c r="B17" s="796" t="s">
        <v>129</v>
      </c>
      <c r="C17" s="797"/>
      <c r="D17" s="797"/>
      <c r="E17" s="797"/>
      <c r="F17" s="797"/>
      <c r="G17" s="797"/>
      <c r="H17" s="797"/>
      <c r="I17" s="797"/>
      <c r="J17" s="797"/>
    </row>
    <row r="18" spans="1:13" ht="15" x14ac:dyDescent="0.2">
      <c r="A18" s="428">
        <v>1</v>
      </c>
      <c r="B18" s="445" t="s">
        <v>766</v>
      </c>
      <c r="C18" s="446">
        <f>10.84/1000</f>
        <v>1.0840000000000001E-2</v>
      </c>
      <c r="D18" s="447">
        <v>3442.7168899999997</v>
      </c>
      <c r="E18" s="448" t="s">
        <v>281</v>
      </c>
      <c r="F18" s="448" t="s">
        <v>281</v>
      </c>
      <c r="G18" s="448">
        <f>5.61/1000</f>
        <v>5.6100000000000004E-3</v>
      </c>
      <c r="H18" s="448">
        <v>1784.51566</v>
      </c>
      <c r="I18" s="448">
        <f>5.22/1000</f>
        <v>5.2199999999999998E-3</v>
      </c>
      <c r="J18" s="448">
        <v>1658.2012299999999</v>
      </c>
      <c r="K18" s="109"/>
      <c r="L18" s="109"/>
    </row>
    <row r="19" spans="1:13" ht="15" x14ac:dyDescent="0.2">
      <c r="A19" s="428">
        <v>2</v>
      </c>
      <c r="B19" s="445" t="s">
        <v>767</v>
      </c>
      <c r="C19" s="446">
        <f>218.1/1000</f>
        <v>0.21809999999999999</v>
      </c>
      <c r="D19" s="447">
        <v>812.75232899999992</v>
      </c>
      <c r="E19" s="448" t="s">
        <v>281</v>
      </c>
      <c r="F19" s="448" t="s">
        <v>281</v>
      </c>
      <c r="G19" s="449">
        <f>104.04/1000</f>
        <v>0.10404000000000001</v>
      </c>
      <c r="H19" s="448">
        <v>390.436623</v>
      </c>
      <c r="I19" s="448">
        <f>114.06/1000</f>
        <v>0.11406000000000001</v>
      </c>
      <c r="J19" s="448">
        <v>422.31570599999998</v>
      </c>
      <c r="K19" s="109"/>
      <c r="L19" s="109"/>
    </row>
    <row r="20" spans="1:13" ht="15" x14ac:dyDescent="0.25">
      <c r="A20" s="428">
        <v>3</v>
      </c>
      <c r="B20" s="445" t="s">
        <v>835</v>
      </c>
      <c r="C20" s="450">
        <v>0</v>
      </c>
      <c r="D20" s="450">
        <v>0</v>
      </c>
      <c r="E20" s="448" t="s">
        <v>281</v>
      </c>
      <c r="F20" s="448" t="s">
        <v>281</v>
      </c>
      <c r="G20" s="436">
        <v>0</v>
      </c>
      <c r="H20" s="436">
        <v>0</v>
      </c>
      <c r="I20" s="437">
        <v>0</v>
      </c>
      <c r="J20" s="436">
        <v>0</v>
      </c>
      <c r="K20" s="109"/>
    </row>
    <row r="21" spans="1:13" ht="15" x14ac:dyDescent="0.25">
      <c r="A21" s="428">
        <v>4</v>
      </c>
      <c r="B21" s="445" t="s">
        <v>772</v>
      </c>
      <c r="C21" s="450">
        <f>600/1000</f>
        <v>0.6</v>
      </c>
      <c r="D21" s="451">
        <v>27.228165000000001</v>
      </c>
      <c r="E21" s="448" t="s">
        <v>281</v>
      </c>
      <c r="F21" s="448" t="s">
        <v>281</v>
      </c>
      <c r="G21" s="452">
        <f>7/1000</f>
        <v>7.0000000000000001E-3</v>
      </c>
      <c r="H21" s="436">
        <v>0.32821499999999998</v>
      </c>
      <c r="I21" s="437">
        <f>593/1000</f>
        <v>0.59299999999999997</v>
      </c>
      <c r="J21" s="438">
        <v>26.89995</v>
      </c>
      <c r="K21" s="109"/>
    </row>
    <row r="22" spans="1:13" ht="15" x14ac:dyDescent="0.25">
      <c r="A22" s="428">
        <v>5</v>
      </c>
      <c r="B22" s="445" t="s">
        <v>836</v>
      </c>
      <c r="C22" s="450">
        <f>0.29/1000</f>
        <v>2.9E-4</v>
      </c>
      <c r="D22" s="453">
        <v>93.319580000000002</v>
      </c>
      <c r="E22" s="448" t="s">
        <v>281</v>
      </c>
      <c r="F22" s="448" t="s">
        <v>281</v>
      </c>
      <c r="G22" s="438">
        <f>0.14/1000</f>
        <v>1.4000000000000001E-4</v>
      </c>
      <c r="H22" s="437">
        <v>42.945121999999998</v>
      </c>
      <c r="I22" s="448">
        <f>0.16/1000</f>
        <v>1.6000000000000001E-4</v>
      </c>
      <c r="J22" s="437">
        <v>50.374457999999997</v>
      </c>
      <c r="K22" s="109"/>
      <c r="L22" s="109"/>
    </row>
    <row r="23" spans="1:13" ht="15" x14ac:dyDescent="0.25">
      <c r="A23" s="428">
        <v>6</v>
      </c>
      <c r="B23" s="445" t="s">
        <v>837</v>
      </c>
      <c r="C23" s="450">
        <f>220/1000</f>
        <v>0.22</v>
      </c>
      <c r="D23" s="453">
        <v>1.9513</v>
      </c>
      <c r="E23" s="448" t="s">
        <v>281</v>
      </c>
      <c r="F23" s="448" t="s">
        <v>281</v>
      </c>
      <c r="G23" s="438">
        <v>1.4000000000000001E-4</v>
      </c>
      <c r="H23" s="437">
        <v>0</v>
      </c>
      <c r="I23" s="448">
        <f>220/1000</f>
        <v>0.22</v>
      </c>
      <c r="J23" s="437">
        <v>1.9513</v>
      </c>
      <c r="K23" s="110"/>
      <c r="L23" s="110"/>
    </row>
    <row r="24" spans="1:13" ht="15" x14ac:dyDescent="0.25">
      <c r="A24" s="428">
        <v>7</v>
      </c>
      <c r="B24" s="445" t="s">
        <v>838</v>
      </c>
      <c r="C24" s="450">
        <f>749700/1000</f>
        <v>749.7</v>
      </c>
      <c r="D24" s="454">
        <v>3334.4303949999999</v>
      </c>
      <c r="E24" s="448" t="s">
        <v>281</v>
      </c>
      <c r="F24" s="448" t="s">
        <v>281</v>
      </c>
      <c r="G24" s="437">
        <f>311660/1000</f>
        <v>311.66000000000003</v>
      </c>
      <c r="H24" s="455">
        <v>1388.4050649999999</v>
      </c>
      <c r="I24" s="448">
        <f>438040/1000</f>
        <v>438.04</v>
      </c>
      <c r="J24" s="455">
        <v>1946.0253299999999</v>
      </c>
      <c r="K24" s="109"/>
      <c r="L24" s="109"/>
      <c r="M24" s="109"/>
    </row>
    <row r="25" spans="1:13" ht="15" x14ac:dyDescent="0.25">
      <c r="A25" s="428">
        <v>8</v>
      </c>
      <c r="B25" s="445" t="s">
        <v>779</v>
      </c>
      <c r="C25" s="450">
        <f>224021.75/1000</f>
        <v>224.02175</v>
      </c>
      <c r="D25" s="454">
        <v>2918.8881000000001</v>
      </c>
      <c r="E25" s="448" t="s">
        <v>281</v>
      </c>
      <c r="F25" s="448" t="s">
        <v>281</v>
      </c>
      <c r="G25" s="437">
        <f>104958/1000</f>
        <v>104.958</v>
      </c>
      <c r="H25" s="437">
        <v>1383.4128000000001</v>
      </c>
      <c r="I25" s="448">
        <f>119063.75/1000</f>
        <v>119.06375</v>
      </c>
      <c r="J25" s="455">
        <v>1535.4753000000001</v>
      </c>
      <c r="K25" s="109"/>
      <c r="L25" s="109"/>
    </row>
    <row r="26" spans="1:13" ht="15" x14ac:dyDescent="0.2">
      <c r="A26" s="428"/>
      <c r="B26" s="456" t="s">
        <v>839</v>
      </c>
      <c r="C26" s="457">
        <f>SUM(C18:C25)</f>
        <v>974.77098000000001</v>
      </c>
      <c r="D26" s="457">
        <f>SUM(D18:D25)</f>
        <v>10631.286759000001</v>
      </c>
      <c r="E26" s="457" t="s">
        <v>281</v>
      </c>
      <c r="F26" s="457" t="s">
        <v>281</v>
      </c>
      <c r="G26" s="457">
        <f>SUM(G18:G25)</f>
        <v>416.73493000000008</v>
      </c>
      <c r="H26" s="457">
        <f>SUM(H18:H25)</f>
        <v>4990.0434850000001</v>
      </c>
      <c r="I26" s="457">
        <f>SUM(I18:I25)</f>
        <v>558.03619000000003</v>
      </c>
      <c r="J26" s="457">
        <f>SUM(J18:J25)</f>
        <v>5641.2432740000004</v>
      </c>
    </row>
    <row r="27" spans="1:13" ht="12.75" hidden="1" customHeight="1" x14ac:dyDescent="0.2">
      <c r="A27" s="444" t="s">
        <v>840</v>
      </c>
      <c r="B27" s="798" t="s">
        <v>130</v>
      </c>
      <c r="C27" s="798"/>
      <c r="D27" s="798"/>
      <c r="E27" s="798"/>
      <c r="F27" s="798"/>
      <c r="G27" s="798"/>
      <c r="H27" s="798"/>
      <c r="I27" s="798"/>
      <c r="J27" s="798"/>
    </row>
    <row r="28" spans="1:13" ht="12.75" hidden="1" customHeight="1" x14ac:dyDescent="0.2">
      <c r="A28" s="428">
        <v>1</v>
      </c>
      <c r="B28" s="458" t="s">
        <v>766</v>
      </c>
      <c r="C28" s="458"/>
      <c r="D28" s="458"/>
      <c r="E28" s="438" t="s">
        <v>281</v>
      </c>
      <c r="F28" s="438" t="s">
        <v>281</v>
      </c>
      <c r="G28" s="438" t="s">
        <v>281</v>
      </c>
      <c r="H28" s="438" t="s">
        <v>281</v>
      </c>
      <c r="I28" s="458"/>
      <c r="J28" s="458"/>
    </row>
    <row r="29" spans="1:13" ht="12.75" hidden="1" customHeight="1" x14ac:dyDescent="0.2">
      <c r="A29" s="428">
        <v>2</v>
      </c>
      <c r="B29" s="458" t="s">
        <v>767</v>
      </c>
      <c r="C29" s="458"/>
      <c r="D29" s="458"/>
      <c r="E29" s="438" t="s">
        <v>281</v>
      </c>
      <c r="F29" s="438" t="s">
        <v>281</v>
      </c>
      <c r="G29" s="438" t="s">
        <v>281</v>
      </c>
      <c r="H29" s="438" t="s">
        <v>281</v>
      </c>
      <c r="I29" s="458"/>
      <c r="J29" s="458"/>
    </row>
    <row r="30" spans="1:13" ht="12.75" hidden="1" customHeight="1" x14ac:dyDescent="0.25">
      <c r="A30" s="459"/>
      <c r="B30" s="460" t="s">
        <v>841</v>
      </c>
      <c r="C30" s="461"/>
      <c r="D30" s="461">
        <v>696.19</v>
      </c>
      <c r="E30" s="438" t="s">
        <v>281</v>
      </c>
      <c r="F30" s="438" t="s">
        <v>281</v>
      </c>
      <c r="G30" s="438" t="s">
        <v>281</v>
      </c>
      <c r="H30" s="438" t="s">
        <v>281</v>
      </c>
      <c r="I30" s="461"/>
      <c r="J30" s="461">
        <v>696.19</v>
      </c>
    </row>
    <row r="31" spans="1:13" ht="15" x14ac:dyDescent="0.2">
      <c r="A31" s="444" t="s">
        <v>840</v>
      </c>
      <c r="B31" s="796" t="s">
        <v>130</v>
      </c>
      <c r="C31" s="797"/>
      <c r="D31" s="797"/>
      <c r="E31" s="797"/>
      <c r="F31" s="797"/>
      <c r="G31" s="797"/>
      <c r="H31" s="797"/>
      <c r="I31" s="797"/>
      <c r="J31" s="797"/>
    </row>
    <row r="32" spans="1:13" ht="15" x14ac:dyDescent="0.2">
      <c r="A32" s="428">
        <v>1</v>
      </c>
      <c r="B32" s="435" t="s">
        <v>766</v>
      </c>
      <c r="C32" s="448">
        <v>0.17299999999999999</v>
      </c>
      <c r="D32" s="448">
        <v>55.067040000000006</v>
      </c>
      <c r="E32" s="448" t="s">
        <v>281</v>
      </c>
      <c r="F32" s="448" t="s">
        <v>281</v>
      </c>
      <c r="G32" s="448">
        <v>7.3999999999999996E-2</v>
      </c>
      <c r="H32" s="448">
        <v>23.602780000000003</v>
      </c>
      <c r="I32" s="448">
        <v>9.9000000000000005E-2</v>
      </c>
      <c r="J32" s="448">
        <v>31.464259999999999</v>
      </c>
      <c r="K32" s="111">
        <f>SUM(J32:J34)</f>
        <v>387.13313599999987</v>
      </c>
      <c r="L32" s="111">
        <f>SUM(H32:H34)</f>
        <v>431.03876900000006</v>
      </c>
      <c r="M32" s="108">
        <f>(K32-L32)/L32*100</f>
        <v>-10.18600556554582</v>
      </c>
    </row>
    <row r="33" spans="1:13" ht="15" x14ac:dyDescent="0.2">
      <c r="A33" s="428">
        <v>2</v>
      </c>
      <c r="B33" s="435" t="s">
        <v>842</v>
      </c>
      <c r="C33" s="448">
        <v>2.3342999999999994</v>
      </c>
      <c r="D33" s="448">
        <v>743.00868099999991</v>
      </c>
      <c r="E33" s="448" t="s">
        <v>281</v>
      </c>
      <c r="F33" s="448" t="s">
        <v>281</v>
      </c>
      <c r="G33" s="448">
        <v>1.2229999999999994</v>
      </c>
      <c r="H33" s="448">
        <v>389.01430000000005</v>
      </c>
      <c r="I33" s="448">
        <v>1.1113</v>
      </c>
      <c r="J33" s="448">
        <v>353.99438099999986</v>
      </c>
    </row>
    <row r="34" spans="1:13" ht="15" x14ac:dyDescent="0.2">
      <c r="A34" s="428">
        <v>3</v>
      </c>
      <c r="B34" s="435" t="s">
        <v>767</v>
      </c>
      <c r="C34" s="448">
        <v>5.37</v>
      </c>
      <c r="D34" s="448">
        <v>20.096184000000001</v>
      </c>
      <c r="E34" s="448" t="s">
        <v>281</v>
      </c>
      <c r="F34" s="448" t="s">
        <v>281</v>
      </c>
      <c r="G34" s="448">
        <v>4.92</v>
      </c>
      <c r="H34" s="448">
        <v>18.421689000000001</v>
      </c>
      <c r="I34" s="448">
        <v>0.45</v>
      </c>
      <c r="J34" s="448">
        <v>1.6744949999999998</v>
      </c>
    </row>
    <row r="35" spans="1:13" ht="15" x14ac:dyDescent="0.2">
      <c r="A35" s="428">
        <v>4</v>
      </c>
      <c r="B35" s="458" t="s">
        <v>843</v>
      </c>
      <c r="C35" s="448">
        <v>8.3219645293315145E-2</v>
      </c>
      <c r="D35" s="448">
        <v>30.530850000000004</v>
      </c>
      <c r="E35" s="448" t="s">
        <v>281</v>
      </c>
      <c r="F35" s="448" t="s">
        <v>281</v>
      </c>
      <c r="G35" s="448">
        <v>5.0477489768076401E-2</v>
      </c>
      <c r="H35" s="448">
        <v>18.531720000000004</v>
      </c>
      <c r="I35" s="448">
        <v>3.2742155525238743E-2</v>
      </c>
      <c r="J35" s="448">
        <v>11.999130000000001</v>
      </c>
      <c r="K35" s="108">
        <f>SUM(J35:J36)</f>
        <v>55.178641000000006</v>
      </c>
      <c r="L35" s="108">
        <f>SUM(H35:H36)</f>
        <v>58.747573000000003</v>
      </c>
      <c r="M35" s="106">
        <f>(K35-L35)/L35*100</f>
        <v>-6.0750288356592987</v>
      </c>
    </row>
    <row r="36" spans="1:13" ht="15" x14ac:dyDescent="0.2">
      <c r="A36" s="428">
        <v>5</v>
      </c>
      <c r="B36" s="458" t="s">
        <v>844</v>
      </c>
      <c r="C36" s="448">
        <v>2.2927694406548431</v>
      </c>
      <c r="D36" s="448">
        <v>83.395364000000001</v>
      </c>
      <c r="E36" s="448" t="s">
        <v>281</v>
      </c>
      <c r="F36" s="448" t="s">
        <v>281</v>
      </c>
      <c r="G36" s="448">
        <v>1.1013642564802182</v>
      </c>
      <c r="H36" s="448">
        <v>40.215852999999996</v>
      </c>
      <c r="I36" s="448">
        <v>1.1914051841746249</v>
      </c>
      <c r="J36" s="448">
        <v>43.179511000000005</v>
      </c>
    </row>
    <row r="37" spans="1:13" ht="15" x14ac:dyDescent="0.2">
      <c r="A37" s="428"/>
      <c r="B37" s="456" t="s">
        <v>841</v>
      </c>
      <c r="C37" s="457">
        <f>SUM(C32:C36)</f>
        <v>10.253289085948158</v>
      </c>
      <c r="D37" s="457">
        <f>SUM(D32:D36)</f>
        <v>932.09811899999988</v>
      </c>
      <c r="E37" s="457" t="s">
        <v>281</v>
      </c>
      <c r="F37" s="457" t="s">
        <v>281</v>
      </c>
      <c r="G37" s="457">
        <f>SUM(G32:G36)</f>
        <v>7.3688417462482949</v>
      </c>
      <c r="H37" s="457">
        <f>SUM(H32:H36)</f>
        <v>489.78634200000005</v>
      </c>
      <c r="I37" s="457">
        <f>SUM(I32:I36)</f>
        <v>2.8844473396998636</v>
      </c>
      <c r="J37" s="457">
        <f>SUM(J32:J36)</f>
        <v>442.31177699999984</v>
      </c>
    </row>
    <row r="38" spans="1:13" x14ac:dyDescent="0.2">
      <c r="A38" s="462" t="str">
        <f>'[1]66'!A8</f>
        <v>$ indicates as on May 31, 2019</v>
      </c>
      <c r="B38" s="376"/>
      <c r="C38" s="376"/>
      <c r="D38" s="376"/>
      <c r="E38" s="376"/>
      <c r="F38" s="463"/>
      <c r="G38" s="463"/>
      <c r="H38" s="463"/>
      <c r="I38" s="463"/>
      <c r="J38" s="463"/>
    </row>
    <row r="39" spans="1:13" ht="26.25" customHeight="1" x14ac:dyDescent="0.2">
      <c r="A39" s="464" t="s">
        <v>1006</v>
      </c>
      <c r="B39" s="799" t="s">
        <v>1007</v>
      </c>
      <c r="C39" s="799"/>
      <c r="D39" s="799"/>
      <c r="E39" s="799"/>
      <c r="F39" s="799"/>
      <c r="G39" s="799"/>
      <c r="H39" s="799"/>
      <c r="I39" s="799"/>
      <c r="J39" s="799"/>
    </row>
    <row r="40" spans="1:13" ht="12.75" customHeight="1" x14ac:dyDescent="0.2">
      <c r="A40" s="464"/>
      <c r="B40" s="752" t="s">
        <v>1008</v>
      </c>
      <c r="C40" s="752"/>
      <c r="D40" s="752"/>
      <c r="E40" s="752"/>
      <c r="F40" s="752"/>
      <c r="G40" s="752"/>
      <c r="H40" s="752"/>
      <c r="I40" s="752"/>
      <c r="J40" s="752"/>
    </row>
    <row r="41" spans="1:13" ht="14.25" customHeight="1" x14ac:dyDescent="0.2">
      <c r="A41" s="430" t="s">
        <v>845</v>
      </c>
      <c r="B41" s="423"/>
      <c r="C41" s="423"/>
      <c r="D41" s="423"/>
      <c r="E41" s="465"/>
      <c r="F41" s="463"/>
      <c r="G41" s="463"/>
      <c r="H41" s="465"/>
      <c r="I41" s="463"/>
      <c r="J41" s="463"/>
    </row>
    <row r="42" spans="1:13" ht="14.25" customHeight="1" x14ac:dyDescent="0.2">
      <c r="A42" s="113"/>
      <c r="B42" s="792"/>
      <c r="C42" s="792"/>
      <c r="D42" s="792"/>
      <c r="E42" s="792"/>
      <c r="F42" s="792"/>
      <c r="G42" s="792"/>
      <c r="H42" s="792"/>
      <c r="I42" s="792"/>
      <c r="J42" s="792"/>
      <c r="K42" s="792"/>
      <c r="L42" s="792"/>
    </row>
    <row r="43" spans="1:13" x14ac:dyDescent="0.2">
      <c r="A43" s="104"/>
      <c r="E43" s="114"/>
      <c r="F43" s="112"/>
      <c r="G43" s="112"/>
      <c r="H43" s="114"/>
      <c r="I43" s="112"/>
      <c r="J43" s="112"/>
    </row>
    <row r="44" spans="1:13" x14ac:dyDescent="0.2">
      <c r="A44" s="104"/>
      <c r="G44" s="98" t="s">
        <v>704</v>
      </c>
      <c r="H44" s="98" t="s">
        <v>704</v>
      </c>
    </row>
    <row r="46" spans="1:13" x14ac:dyDescent="0.2">
      <c r="C46" s="107"/>
      <c r="G46" s="107"/>
      <c r="I46" s="107"/>
    </row>
    <row r="47" spans="1:13" x14ac:dyDescent="0.2">
      <c r="C47" s="107"/>
      <c r="G47" s="107"/>
      <c r="I47" s="107"/>
    </row>
    <row r="49" spans="8:10" x14ac:dyDescent="0.2">
      <c r="H49" s="115"/>
      <c r="I49" s="116"/>
      <c r="J49" s="115"/>
    </row>
    <row r="50" spans="8:10" x14ac:dyDescent="0.2">
      <c r="I50" s="116"/>
    </row>
  </sheetData>
  <mergeCells count="13">
    <mergeCell ref="I2:J2"/>
    <mergeCell ref="A2:A3"/>
    <mergeCell ref="B2:B3"/>
    <mergeCell ref="C2:D2"/>
    <mergeCell ref="E2:F2"/>
    <mergeCell ref="G2:H2"/>
    <mergeCell ref="B42:L42"/>
    <mergeCell ref="B4:J4"/>
    <mergeCell ref="B17:J17"/>
    <mergeCell ref="B27:J27"/>
    <mergeCell ref="B31:J31"/>
    <mergeCell ref="B40:J40"/>
    <mergeCell ref="B39:J39"/>
  </mergeCells>
  <pageMargins left="0.7" right="0.7" top="0.75" bottom="0.75" header="0.3" footer="0.3"/>
  <pageSetup paperSize="9" scale="67"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zoomScaleNormal="100" workbookViewId="0">
      <selection activeCell="C21" sqref="C21"/>
    </sheetView>
  </sheetViews>
  <sheetFormatPr defaultRowHeight="12.75" x14ac:dyDescent="0.2"/>
  <cols>
    <col min="1" max="1" width="55.5703125" style="18" customWidth="1"/>
    <col min="2" max="2" width="15" style="18" customWidth="1"/>
    <col min="3" max="3" width="12.140625" style="18" customWidth="1"/>
    <col min="4" max="4" width="13" style="18" customWidth="1"/>
    <col min="5" max="5" width="10.5703125" style="18" bestFit="1" customWidth="1"/>
    <col min="6" max="6" width="10.7109375" style="18" bestFit="1" customWidth="1"/>
    <col min="7" max="7" width="9.140625" style="18" customWidth="1"/>
    <col min="8" max="8" width="10.140625" style="18" bestFit="1" customWidth="1"/>
    <col min="9" max="9" width="9.28515625" style="18" hidden="1" customWidth="1"/>
    <col min="10" max="12" width="9.140625" style="18" hidden="1" customWidth="1"/>
    <col min="13" max="13" width="10.140625" style="18" hidden="1" customWidth="1"/>
    <col min="14" max="16384" width="9.140625" style="18"/>
  </cols>
  <sheetData>
    <row r="1" spans="1:11" ht="15" customHeight="1" x14ac:dyDescent="0.25">
      <c r="A1" s="13" t="s">
        <v>1065</v>
      </c>
      <c r="B1" s="14"/>
      <c r="C1" s="14"/>
      <c r="D1" s="15"/>
      <c r="E1" s="804"/>
      <c r="F1" s="805"/>
      <c r="G1" s="16"/>
      <c r="H1" s="16"/>
      <c r="I1" s="17"/>
      <c r="K1" s="16"/>
    </row>
    <row r="2" spans="1:11" ht="18" customHeight="1" x14ac:dyDescent="0.25">
      <c r="A2" s="806" t="s">
        <v>1043</v>
      </c>
      <c r="B2" s="807"/>
      <c r="C2" s="807"/>
      <c r="D2" s="808"/>
      <c r="E2" s="809">
        <v>19010164</v>
      </c>
      <c r="F2" s="810"/>
      <c r="G2" s="19"/>
      <c r="H2" s="19"/>
      <c r="I2" s="19"/>
      <c r="K2" s="19"/>
    </row>
    <row r="3" spans="1:11" ht="18" customHeight="1" x14ac:dyDescent="0.2">
      <c r="A3" s="811" t="s">
        <v>593</v>
      </c>
      <c r="B3" s="807"/>
      <c r="C3" s="807"/>
      <c r="D3" s="808"/>
      <c r="E3" s="812">
        <v>30.1</v>
      </c>
      <c r="F3" s="813"/>
      <c r="G3" s="19"/>
      <c r="H3" s="555"/>
      <c r="I3" s="19"/>
      <c r="K3" s="19"/>
    </row>
    <row r="4" spans="1:11" ht="18" customHeight="1" x14ac:dyDescent="0.2">
      <c r="A4" s="814" t="s">
        <v>594</v>
      </c>
      <c r="B4" s="815"/>
      <c r="C4" s="815"/>
      <c r="D4" s="808"/>
      <c r="E4" s="812">
        <v>32.299999999999997</v>
      </c>
      <c r="F4" s="813"/>
      <c r="G4" s="19"/>
      <c r="H4" s="19"/>
      <c r="I4" s="19"/>
      <c r="K4" s="19"/>
    </row>
    <row r="5" spans="1:11" ht="18.75" customHeight="1" x14ac:dyDescent="0.2">
      <c r="A5" s="20" t="s">
        <v>595</v>
      </c>
      <c r="B5" s="21">
        <v>43466</v>
      </c>
      <c r="C5" s="21">
        <v>43497</v>
      </c>
      <c r="D5" s="21">
        <v>43525</v>
      </c>
      <c r="E5" s="21">
        <v>43556</v>
      </c>
      <c r="F5" s="21">
        <v>43586</v>
      </c>
      <c r="G5" s="19"/>
      <c r="H5" s="19"/>
      <c r="I5" s="19"/>
      <c r="K5" s="19"/>
    </row>
    <row r="6" spans="1:11" ht="18.75" customHeight="1" x14ac:dyDescent="0.25">
      <c r="A6" s="22" t="s">
        <v>556</v>
      </c>
      <c r="B6" s="23">
        <v>4</v>
      </c>
      <c r="C6" s="23">
        <v>4</v>
      </c>
      <c r="D6" s="23">
        <v>4</v>
      </c>
      <c r="E6" s="23">
        <v>4</v>
      </c>
      <c r="F6" s="23">
        <v>4</v>
      </c>
      <c r="G6" s="19"/>
      <c r="H6" s="19"/>
      <c r="I6" s="19"/>
      <c r="J6" s="18" t="s">
        <v>596</v>
      </c>
      <c r="K6" s="19" t="s">
        <v>597</v>
      </c>
    </row>
    <row r="7" spans="1:11" ht="18.75" customHeight="1" x14ac:dyDescent="0.25">
      <c r="A7" s="24" t="s">
        <v>557</v>
      </c>
      <c r="B7" s="25">
        <v>6.5</v>
      </c>
      <c r="C7" s="25">
        <v>6.25</v>
      </c>
      <c r="D7" s="25">
        <v>6.25</v>
      </c>
      <c r="E7" s="25">
        <v>6</v>
      </c>
      <c r="F7" s="25">
        <v>6</v>
      </c>
      <c r="G7" s="19"/>
      <c r="H7" s="19"/>
      <c r="I7" s="19"/>
      <c r="J7" s="18" t="s">
        <v>596</v>
      </c>
      <c r="K7" s="19"/>
    </row>
    <row r="8" spans="1:11" ht="18.75" customHeight="1" x14ac:dyDescent="0.25">
      <c r="A8" s="26" t="s">
        <v>598</v>
      </c>
      <c r="B8" s="27">
        <v>147591.9</v>
      </c>
      <c r="C8" s="27">
        <v>149401</v>
      </c>
      <c r="D8" s="27">
        <v>150859.29999999999</v>
      </c>
      <c r="E8" s="27">
        <v>154301.1</v>
      </c>
      <c r="F8" s="27">
        <v>154308.70000000001</v>
      </c>
      <c r="G8" s="19"/>
      <c r="H8" s="19"/>
      <c r="I8" s="19"/>
      <c r="J8" s="18" t="s">
        <v>599</v>
      </c>
      <c r="K8" s="19"/>
    </row>
    <row r="9" spans="1:11" ht="18.75" customHeight="1" x14ac:dyDescent="0.25">
      <c r="A9" s="24" t="s">
        <v>600</v>
      </c>
      <c r="B9" s="27">
        <v>119864.6</v>
      </c>
      <c r="C9" s="27">
        <v>121211.8</v>
      </c>
      <c r="D9" s="27">
        <v>122262.39999999999</v>
      </c>
      <c r="E9" s="27">
        <v>125309.8</v>
      </c>
      <c r="F9" s="27">
        <v>124985.5</v>
      </c>
      <c r="G9" s="28"/>
      <c r="H9" s="19"/>
      <c r="I9" s="19"/>
      <c r="J9" s="18" t="s">
        <v>601</v>
      </c>
      <c r="K9" s="19"/>
    </row>
    <row r="10" spans="1:11" ht="18.75" customHeight="1" x14ac:dyDescent="0.25">
      <c r="A10" s="29" t="s">
        <v>602</v>
      </c>
      <c r="B10" s="27">
        <v>93316.9</v>
      </c>
      <c r="C10" s="27">
        <v>94034.9</v>
      </c>
      <c r="D10" s="27">
        <v>95537.1</v>
      </c>
      <c r="E10" s="27">
        <v>96450.6</v>
      </c>
      <c r="F10" s="27">
        <v>96225.9</v>
      </c>
      <c r="G10" s="28"/>
      <c r="H10" s="19"/>
      <c r="I10" s="19"/>
      <c r="J10" s="18" t="s">
        <v>601</v>
      </c>
      <c r="K10" s="19"/>
    </row>
    <row r="11" spans="1:11" ht="18.75" customHeight="1" x14ac:dyDescent="0.25">
      <c r="A11" s="30" t="s">
        <v>603</v>
      </c>
      <c r="B11" s="31"/>
      <c r="C11" s="31"/>
      <c r="D11" s="31"/>
      <c r="E11" s="31"/>
      <c r="F11" s="31"/>
      <c r="G11" s="28"/>
      <c r="H11" s="19"/>
      <c r="I11" s="19"/>
      <c r="K11" s="19"/>
    </row>
    <row r="12" spans="1:11" ht="18.75" customHeight="1" x14ac:dyDescent="0.25">
      <c r="A12" s="32" t="s">
        <v>558</v>
      </c>
      <c r="B12" s="33">
        <v>6.43</v>
      </c>
      <c r="C12" s="33">
        <v>6.29</v>
      </c>
      <c r="D12" s="33">
        <v>6.35</v>
      </c>
      <c r="E12" s="33">
        <v>6.16</v>
      </c>
      <c r="F12" s="33">
        <v>5.9</v>
      </c>
      <c r="G12" s="28"/>
      <c r="H12" s="19"/>
      <c r="I12" s="19"/>
      <c r="J12" s="18" t="s">
        <v>596</v>
      </c>
      <c r="K12" s="19"/>
    </row>
    <row r="13" spans="1:11" ht="18.75" customHeight="1" x14ac:dyDescent="0.25">
      <c r="A13" s="32" t="s">
        <v>559</v>
      </c>
      <c r="B13" s="25">
        <v>6.6</v>
      </c>
      <c r="C13" s="25">
        <v>6.4</v>
      </c>
      <c r="D13" s="25">
        <v>6.31</v>
      </c>
      <c r="E13" s="25">
        <v>6.4</v>
      </c>
      <c r="F13" s="25">
        <v>6.19</v>
      </c>
      <c r="G13" s="19"/>
      <c r="H13" s="19"/>
      <c r="I13" s="19"/>
      <c r="J13" s="18" t="s">
        <v>596</v>
      </c>
      <c r="K13" s="19"/>
    </row>
    <row r="14" spans="1:11" ht="18.75" customHeight="1" x14ac:dyDescent="0.25">
      <c r="A14" s="32" t="s">
        <v>560</v>
      </c>
      <c r="B14" s="34" t="s">
        <v>561</v>
      </c>
      <c r="C14" s="34" t="s">
        <v>561</v>
      </c>
      <c r="D14" s="34" t="s">
        <v>562</v>
      </c>
      <c r="E14" s="34" t="s">
        <v>562</v>
      </c>
      <c r="F14" s="34" t="s">
        <v>562</v>
      </c>
      <c r="G14" s="28"/>
      <c r="H14" s="19"/>
      <c r="I14" s="19"/>
      <c r="J14" s="18" t="s">
        <v>596</v>
      </c>
      <c r="K14" s="28"/>
    </row>
    <row r="15" spans="1:11" ht="18.75" customHeight="1" x14ac:dyDescent="0.25">
      <c r="A15" s="35" t="s">
        <v>563</v>
      </c>
      <c r="B15" s="25" t="s">
        <v>564</v>
      </c>
      <c r="C15" s="25" t="s">
        <v>564</v>
      </c>
      <c r="D15" s="25" t="s">
        <v>564</v>
      </c>
      <c r="E15" s="25" t="s">
        <v>564</v>
      </c>
      <c r="F15" s="25" t="s">
        <v>564</v>
      </c>
      <c r="G15" s="28"/>
      <c r="H15" s="19"/>
      <c r="I15" s="19"/>
      <c r="J15" s="18" t="s">
        <v>596</v>
      </c>
      <c r="K15" s="28"/>
    </row>
    <row r="16" spans="1:11" ht="18.75" customHeight="1" x14ac:dyDescent="0.25">
      <c r="A16" s="30" t="s">
        <v>604</v>
      </c>
      <c r="B16" s="31"/>
      <c r="C16" s="31"/>
      <c r="D16" s="31"/>
      <c r="E16" s="31"/>
      <c r="F16" s="31"/>
      <c r="G16" s="28"/>
      <c r="H16" s="19"/>
      <c r="I16" s="19"/>
      <c r="K16" s="19"/>
    </row>
    <row r="17" spans="1:14" ht="15" x14ac:dyDescent="0.25">
      <c r="A17" s="36" t="s">
        <v>605</v>
      </c>
      <c r="B17" s="37">
        <v>727221.33</v>
      </c>
      <c r="C17" s="37">
        <v>689925.69</v>
      </c>
      <c r="D17" s="37">
        <v>778201.06</v>
      </c>
      <c r="E17" s="37">
        <v>695982.81</v>
      </c>
      <c r="F17" s="37">
        <v>846355.18416197621</v>
      </c>
      <c r="G17" s="19"/>
      <c r="I17" s="38"/>
      <c r="K17" s="19" t="s">
        <v>606</v>
      </c>
      <c r="L17" s="39"/>
      <c r="M17" s="40"/>
      <c r="N17" s="41"/>
    </row>
    <row r="18" spans="1:14" ht="15" x14ac:dyDescent="0.25">
      <c r="A18" s="42" t="s">
        <v>565</v>
      </c>
      <c r="B18" s="43">
        <v>14099330.09</v>
      </c>
      <c r="C18" s="37">
        <v>14041530.33</v>
      </c>
      <c r="D18" s="37">
        <v>15108711.01</v>
      </c>
      <c r="E18" s="37">
        <v>15254028.060000001</v>
      </c>
      <c r="F18" s="37">
        <v>15254028.060000001</v>
      </c>
      <c r="G18" s="19"/>
      <c r="I18" s="19"/>
      <c r="K18" s="19"/>
      <c r="L18" s="40"/>
    </row>
    <row r="19" spans="1:14" ht="15" x14ac:dyDescent="0.25">
      <c r="A19" s="42" t="s">
        <v>566</v>
      </c>
      <c r="B19" s="37">
        <v>13916643</v>
      </c>
      <c r="C19" s="37">
        <v>13871449</v>
      </c>
      <c r="D19" s="37">
        <v>14934227</v>
      </c>
      <c r="E19" s="37">
        <v>15043275</v>
      </c>
      <c r="F19" s="37">
        <v>15438014.550000001</v>
      </c>
      <c r="G19" s="19"/>
      <c r="H19" s="19"/>
      <c r="I19" s="19"/>
      <c r="K19" s="19" t="s">
        <v>607</v>
      </c>
    </row>
    <row r="20" spans="1:14" ht="15" x14ac:dyDescent="0.25">
      <c r="A20" s="44" t="s">
        <v>567</v>
      </c>
      <c r="B20" s="27">
        <v>-7827.23</v>
      </c>
      <c r="C20" s="27">
        <v>17219.62</v>
      </c>
      <c r="D20" s="27">
        <v>33980.559999999998</v>
      </c>
      <c r="E20" s="27">
        <v>21193</v>
      </c>
      <c r="F20" s="27">
        <v>7920</v>
      </c>
      <c r="G20" s="19"/>
      <c r="H20" s="19"/>
      <c r="I20" s="19"/>
      <c r="K20" s="19" t="s">
        <v>608</v>
      </c>
    </row>
    <row r="21" spans="1:14" ht="15.75" x14ac:dyDescent="0.25">
      <c r="A21" s="30" t="s">
        <v>568</v>
      </c>
      <c r="B21" s="31"/>
      <c r="C21" s="31"/>
      <c r="D21" s="31"/>
      <c r="E21" s="31"/>
      <c r="F21" s="31"/>
      <c r="G21" s="28"/>
      <c r="H21" s="19"/>
      <c r="I21" s="19"/>
      <c r="K21" s="19"/>
    </row>
    <row r="22" spans="1:14" ht="15" x14ac:dyDescent="0.25">
      <c r="A22" s="36" t="s">
        <v>569</v>
      </c>
      <c r="B22" s="37">
        <v>398178.4</v>
      </c>
      <c r="C22" s="37">
        <v>399217.2</v>
      </c>
      <c r="D22" s="37">
        <v>411905</v>
      </c>
      <c r="E22" s="37">
        <v>418515.3</v>
      </c>
      <c r="F22" s="37">
        <v>421867.8</v>
      </c>
      <c r="G22" s="19"/>
      <c r="H22" s="19"/>
      <c r="I22" s="19"/>
      <c r="J22" s="18" t="s">
        <v>609</v>
      </c>
      <c r="K22" s="19"/>
    </row>
    <row r="23" spans="1:14" ht="15" x14ac:dyDescent="0.25">
      <c r="A23" s="42" t="s">
        <v>570</v>
      </c>
      <c r="B23" s="25">
        <v>71.11</v>
      </c>
      <c r="C23" s="25">
        <v>71.22</v>
      </c>
      <c r="D23" s="25">
        <v>69.17</v>
      </c>
      <c r="E23" s="25">
        <v>70.14</v>
      </c>
      <c r="F23" s="25">
        <v>69.805800000000005</v>
      </c>
      <c r="G23" s="19"/>
      <c r="H23" s="19"/>
      <c r="I23" s="19"/>
      <c r="K23" s="19"/>
    </row>
    <row r="24" spans="1:14" ht="15" x14ac:dyDescent="0.25">
      <c r="A24" s="42" t="s">
        <v>571</v>
      </c>
      <c r="B24" s="45">
        <v>80.5</v>
      </c>
      <c r="C24" s="45">
        <v>80.75</v>
      </c>
      <c r="D24" s="34">
        <v>77.7</v>
      </c>
      <c r="E24" s="34">
        <v>78.13</v>
      </c>
      <c r="F24" s="34">
        <v>77.728800000000007</v>
      </c>
      <c r="G24" s="19"/>
      <c r="H24" s="19"/>
      <c r="I24" s="19"/>
      <c r="K24" s="19"/>
    </row>
    <row r="25" spans="1:14" ht="15" x14ac:dyDescent="0.25">
      <c r="A25" s="44" t="s">
        <v>572</v>
      </c>
      <c r="B25" s="45">
        <v>4.1100000000000003</v>
      </c>
      <c r="C25" s="45">
        <v>4.16</v>
      </c>
      <c r="D25" s="25">
        <v>4.16</v>
      </c>
      <c r="E25" s="25">
        <v>4.28</v>
      </c>
      <c r="F25" s="25">
        <v>3.93</v>
      </c>
      <c r="G25" s="19"/>
      <c r="H25" s="19"/>
      <c r="I25" s="19"/>
      <c r="K25" s="19"/>
    </row>
    <row r="26" spans="1:14" ht="15.75" x14ac:dyDescent="0.25">
      <c r="A26" s="30" t="s">
        <v>573</v>
      </c>
      <c r="B26" s="31"/>
      <c r="C26" s="31"/>
      <c r="D26" s="31"/>
      <c r="E26" s="31"/>
      <c r="F26" s="31"/>
      <c r="G26" s="28"/>
      <c r="H26" s="19"/>
      <c r="I26" s="19"/>
      <c r="K26" s="19"/>
    </row>
    <row r="27" spans="1:14" ht="16.5" customHeight="1" x14ac:dyDescent="0.25">
      <c r="A27" s="36" t="s">
        <v>610</v>
      </c>
      <c r="B27" s="46">
        <v>4510</v>
      </c>
      <c r="C27" s="46">
        <v>4990</v>
      </c>
      <c r="D27" s="46">
        <v>5710</v>
      </c>
      <c r="E27" s="46">
        <v>510</v>
      </c>
      <c r="F27" s="46">
        <v>1360</v>
      </c>
      <c r="G27" s="19"/>
      <c r="H27" s="19"/>
      <c r="I27" s="19"/>
      <c r="J27" s="18" t="s">
        <v>609</v>
      </c>
      <c r="K27" s="19"/>
    </row>
    <row r="28" spans="1:14" ht="15" x14ac:dyDescent="0.25">
      <c r="A28" s="42" t="s">
        <v>574</v>
      </c>
      <c r="B28" s="34">
        <v>119.2</v>
      </c>
      <c r="C28" s="34">
        <v>119.5</v>
      </c>
      <c r="D28" s="34">
        <v>119.9</v>
      </c>
      <c r="E28" s="34">
        <v>120.9</v>
      </c>
      <c r="F28" s="34">
        <v>121.2</v>
      </c>
      <c r="G28" s="19"/>
      <c r="H28" s="19"/>
      <c r="I28" s="19"/>
      <c r="K28" s="18" t="s">
        <v>611</v>
      </c>
    </row>
    <row r="29" spans="1:14" ht="15" x14ac:dyDescent="0.25">
      <c r="A29" s="42" t="s">
        <v>576</v>
      </c>
      <c r="B29" s="34">
        <v>139.6</v>
      </c>
      <c r="C29" s="34">
        <v>139.9</v>
      </c>
      <c r="D29" s="34">
        <v>140.4</v>
      </c>
      <c r="E29" s="34">
        <v>141.19999999999999</v>
      </c>
      <c r="F29" s="34">
        <v>142</v>
      </c>
      <c r="G29" s="19"/>
      <c r="H29" s="19"/>
      <c r="I29" s="19"/>
      <c r="K29" s="18" t="s">
        <v>612</v>
      </c>
    </row>
    <row r="30" spans="1:14" ht="15.75" x14ac:dyDescent="0.25">
      <c r="A30" s="30" t="s">
        <v>577</v>
      </c>
      <c r="B30" s="31"/>
      <c r="C30" s="31"/>
      <c r="D30" s="31"/>
      <c r="E30" s="31"/>
      <c r="F30" s="31"/>
      <c r="G30" s="28"/>
      <c r="H30" s="19"/>
      <c r="I30" s="19"/>
    </row>
    <row r="31" spans="1:14" ht="15" x14ac:dyDescent="0.25">
      <c r="A31" s="36" t="s">
        <v>578</v>
      </c>
      <c r="B31" s="34">
        <v>134.4</v>
      </c>
      <c r="C31" s="34">
        <v>127.5</v>
      </c>
      <c r="D31" s="34">
        <v>140.80000000000001</v>
      </c>
      <c r="E31" s="34">
        <v>126.8</v>
      </c>
      <c r="F31" s="34" t="s">
        <v>575</v>
      </c>
      <c r="G31" s="19"/>
      <c r="H31" s="19"/>
      <c r="I31" s="19"/>
      <c r="K31" s="18" t="s">
        <v>612</v>
      </c>
    </row>
    <row r="32" spans="1:14" ht="15" x14ac:dyDescent="0.25">
      <c r="A32" s="42" t="s">
        <v>579</v>
      </c>
      <c r="B32" s="34">
        <v>119.1</v>
      </c>
      <c r="C32" s="34">
        <v>112.5</v>
      </c>
      <c r="D32" s="34">
        <v>132.69999999999999</v>
      </c>
      <c r="E32" s="34">
        <v>107.8</v>
      </c>
      <c r="F32" s="34" t="s">
        <v>575</v>
      </c>
      <c r="G32" s="19"/>
      <c r="H32" s="19"/>
      <c r="I32" s="19"/>
      <c r="K32" s="47"/>
    </row>
    <row r="33" spans="1:11" ht="18.75" customHeight="1" x14ac:dyDescent="0.25">
      <c r="A33" s="42" t="s">
        <v>580</v>
      </c>
      <c r="B33" s="34">
        <v>135.5</v>
      </c>
      <c r="C33" s="34">
        <v>129.19999999999999</v>
      </c>
      <c r="D33" s="34">
        <v>140.30000000000001</v>
      </c>
      <c r="E33" s="34">
        <v>126.6</v>
      </c>
      <c r="F33" s="34" t="s">
        <v>575</v>
      </c>
      <c r="G33" s="19"/>
      <c r="H33" s="19"/>
      <c r="I33" s="19"/>
      <c r="K33" s="47"/>
    </row>
    <row r="34" spans="1:11" ht="18.75" customHeight="1" x14ac:dyDescent="0.25">
      <c r="A34" s="44" t="s">
        <v>581</v>
      </c>
      <c r="B34" s="34">
        <v>150.9</v>
      </c>
      <c r="C34" s="34">
        <v>137.9</v>
      </c>
      <c r="D34" s="34">
        <v>160.1</v>
      </c>
      <c r="E34" s="34">
        <v>162.9</v>
      </c>
      <c r="F34" s="34" t="s">
        <v>575</v>
      </c>
      <c r="G34" s="19"/>
      <c r="H34" s="19"/>
      <c r="I34" s="19"/>
      <c r="K34" s="47"/>
    </row>
    <row r="35" spans="1:11" ht="18.75" customHeight="1" x14ac:dyDescent="0.25">
      <c r="A35" s="30" t="s">
        <v>582</v>
      </c>
      <c r="B35" s="31"/>
      <c r="C35" s="31"/>
      <c r="D35" s="31"/>
      <c r="E35" s="31"/>
      <c r="F35" s="31"/>
      <c r="G35" s="28"/>
      <c r="H35" s="19"/>
      <c r="I35" s="19"/>
      <c r="K35" s="19"/>
    </row>
    <row r="36" spans="1:11" ht="18.75" customHeight="1" x14ac:dyDescent="0.2">
      <c r="A36" s="48" t="s">
        <v>583</v>
      </c>
      <c r="B36" s="49">
        <v>26360.18</v>
      </c>
      <c r="C36" s="49">
        <v>26667.61</v>
      </c>
      <c r="D36" s="49">
        <v>32547.97</v>
      </c>
      <c r="E36" s="49">
        <v>26073.47</v>
      </c>
      <c r="F36" s="49">
        <v>29994.46</v>
      </c>
      <c r="G36" s="19"/>
      <c r="H36" s="19"/>
      <c r="I36" s="19"/>
      <c r="K36" s="50" t="s">
        <v>613</v>
      </c>
    </row>
    <row r="37" spans="1:11" ht="18.75" customHeight="1" x14ac:dyDescent="0.2">
      <c r="A37" s="51" t="s">
        <v>584</v>
      </c>
      <c r="B37" s="52">
        <v>41085.81</v>
      </c>
      <c r="C37" s="52">
        <v>36263.019999999997</v>
      </c>
      <c r="D37" s="52">
        <v>43439.86</v>
      </c>
      <c r="E37" s="52">
        <v>41400.5</v>
      </c>
      <c r="F37" s="52">
        <v>45354</v>
      </c>
      <c r="G37" s="53"/>
      <c r="H37" s="53"/>
      <c r="J37" s="53"/>
    </row>
    <row r="38" spans="1:11" ht="18.75" customHeight="1" x14ac:dyDescent="0.2">
      <c r="A38" s="54" t="s">
        <v>585</v>
      </c>
      <c r="B38" s="55">
        <v>-14725.63</v>
      </c>
      <c r="C38" s="55">
        <v>-9595.41</v>
      </c>
      <c r="D38" s="55">
        <v>-10891.89</v>
      </c>
      <c r="E38" s="55">
        <f>E36-E37</f>
        <v>-15327.029999999999</v>
      </c>
      <c r="F38" s="55">
        <f>F36-F37</f>
        <v>-15359.54</v>
      </c>
      <c r="G38" s="53"/>
      <c r="H38" s="53"/>
      <c r="J38" s="53"/>
    </row>
    <row r="39" spans="1:11" ht="18.75" customHeight="1" x14ac:dyDescent="0.2">
      <c r="A39" s="817" t="s">
        <v>200</v>
      </c>
      <c r="B39" s="817"/>
      <c r="C39" s="817"/>
      <c r="D39" s="817"/>
      <c r="E39" s="53"/>
      <c r="F39" s="53"/>
      <c r="G39" s="53"/>
      <c r="H39" s="53"/>
      <c r="J39" s="53"/>
    </row>
    <row r="40" spans="1:11" ht="18" customHeight="1" x14ac:dyDescent="0.2">
      <c r="A40" s="816" t="s">
        <v>1044</v>
      </c>
      <c r="B40" s="816"/>
      <c r="C40" s="816"/>
      <c r="D40" s="816"/>
      <c r="E40" s="816"/>
      <c r="F40" s="816"/>
      <c r="G40" s="53"/>
      <c r="H40" s="53"/>
      <c r="I40" s="53"/>
      <c r="K40" s="53"/>
    </row>
    <row r="41" spans="1:11" ht="18" customHeight="1" x14ac:dyDescent="0.2">
      <c r="A41" s="56" t="s">
        <v>586</v>
      </c>
      <c r="B41" s="57"/>
      <c r="C41" s="57"/>
      <c r="D41" s="57"/>
      <c r="E41" s="57"/>
      <c r="F41" s="57"/>
      <c r="G41" s="53"/>
    </row>
    <row r="42" spans="1:11" ht="18" customHeight="1" x14ac:dyDescent="0.2">
      <c r="A42" s="816" t="s">
        <v>587</v>
      </c>
      <c r="B42" s="816"/>
      <c r="C42" s="816"/>
      <c r="D42" s="816"/>
      <c r="E42" s="816"/>
      <c r="F42" s="816"/>
      <c r="G42" s="53"/>
    </row>
    <row r="43" spans="1:11" ht="18" customHeight="1" x14ac:dyDescent="0.2">
      <c r="A43" s="816" t="s">
        <v>588</v>
      </c>
      <c r="B43" s="816"/>
      <c r="C43" s="816"/>
      <c r="D43" s="816"/>
      <c r="E43" s="816"/>
      <c r="F43" s="816"/>
      <c r="G43" s="53"/>
    </row>
    <row r="44" spans="1:11" ht="18" customHeight="1" x14ac:dyDescent="0.2">
      <c r="A44" s="816" t="s">
        <v>589</v>
      </c>
      <c r="B44" s="816"/>
      <c r="C44" s="816"/>
      <c r="D44" s="816"/>
      <c r="E44" s="816"/>
      <c r="F44" s="816"/>
      <c r="G44" s="53"/>
      <c r="H44" s="53"/>
      <c r="I44" s="53"/>
      <c r="K44" s="53"/>
    </row>
    <row r="45" spans="1:11" ht="18" customHeight="1" x14ac:dyDescent="0.2">
      <c r="A45" s="58" t="s">
        <v>590</v>
      </c>
      <c r="B45" s="58"/>
      <c r="C45" s="58"/>
      <c r="D45" s="19"/>
      <c r="E45" s="19"/>
      <c r="F45" s="19"/>
      <c r="G45" s="59"/>
      <c r="H45" s="59"/>
      <c r="I45" s="59"/>
      <c r="K45" s="59"/>
    </row>
    <row r="46" spans="1:11" ht="28.35" customHeight="1" x14ac:dyDescent="0.2"/>
  </sheetData>
  <mergeCells count="12">
    <mergeCell ref="A4:D4"/>
    <mergeCell ref="E4:F4"/>
    <mergeCell ref="A42:F42"/>
    <mergeCell ref="A43:F43"/>
    <mergeCell ref="A44:F44"/>
    <mergeCell ref="A40:F40"/>
    <mergeCell ref="A39:D39"/>
    <mergeCell ref="E1:F1"/>
    <mergeCell ref="A2:D2"/>
    <mergeCell ref="E2:F2"/>
    <mergeCell ref="A3:D3"/>
    <mergeCell ref="E3:F3"/>
  </mergeCells>
  <hyperlinks>
    <hyperlink ref="A13" location="_edn3" display="_edn3"/>
  </hyperlink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zoomScaleNormal="100" workbookViewId="0">
      <selection activeCell="A9" sqref="A9"/>
    </sheetView>
  </sheetViews>
  <sheetFormatPr defaultRowHeight="15" x14ac:dyDescent="0.25"/>
  <cols>
    <col min="1" max="1" width="31.5703125" style="123" customWidth="1"/>
    <col min="2" max="2" width="7.5703125" style="123" customWidth="1"/>
    <col min="3" max="3" width="11.7109375" style="123" customWidth="1"/>
    <col min="4" max="4" width="9.7109375" style="123" customWidth="1"/>
    <col min="5" max="6" width="10.7109375" style="123" customWidth="1"/>
    <col min="7" max="7" width="9.42578125" style="123" customWidth="1"/>
    <col min="8" max="8" width="4.7109375" style="123" bestFit="1" customWidth="1"/>
    <col min="9" max="16384" width="9.140625" style="123"/>
  </cols>
  <sheetData>
    <row r="1" spans="1:7" x14ac:dyDescent="0.25">
      <c r="A1" s="574" t="str">
        <f>'Data Summary'!$A$9</f>
        <v>Table 7:  Industry-wise Classification of Capital Raised through Public and Rights Issues (Equity)</v>
      </c>
      <c r="B1" s="574"/>
      <c r="C1" s="574"/>
      <c r="D1" s="574"/>
      <c r="E1" s="574"/>
      <c r="F1" s="574"/>
      <c r="G1" s="574"/>
    </row>
    <row r="2" spans="1:7" s="125" customFormat="1" x14ac:dyDescent="0.25">
      <c r="A2" s="609" t="s">
        <v>86</v>
      </c>
      <c r="B2" s="610" t="s">
        <v>5</v>
      </c>
      <c r="C2" s="610"/>
      <c r="D2" s="610" t="s">
        <v>6</v>
      </c>
      <c r="E2" s="610"/>
      <c r="F2" s="611">
        <v>43586</v>
      </c>
      <c r="G2" s="611"/>
    </row>
    <row r="3" spans="1:7" s="125" customFormat="1" ht="38.25" x14ac:dyDescent="0.2">
      <c r="A3" s="609"/>
      <c r="B3" s="217" t="s">
        <v>81</v>
      </c>
      <c r="C3" s="470" t="s">
        <v>87</v>
      </c>
      <c r="D3" s="217" t="s">
        <v>81</v>
      </c>
      <c r="E3" s="470" t="s">
        <v>87</v>
      </c>
      <c r="F3" s="217" t="s">
        <v>81</v>
      </c>
      <c r="G3" s="470" t="s">
        <v>69</v>
      </c>
    </row>
    <row r="4" spans="1:7" s="125" customFormat="1" x14ac:dyDescent="0.2">
      <c r="A4" s="218" t="s">
        <v>88</v>
      </c>
      <c r="B4" s="219" t="s">
        <v>862</v>
      </c>
      <c r="C4" s="220" t="s">
        <v>862</v>
      </c>
      <c r="D4" s="219">
        <v>0</v>
      </c>
      <c r="E4" s="220">
        <v>0</v>
      </c>
      <c r="F4" s="219">
        <v>0</v>
      </c>
      <c r="G4" s="220">
        <v>0</v>
      </c>
    </row>
    <row r="5" spans="1:7" s="125" customFormat="1" x14ac:dyDescent="0.2">
      <c r="A5" s="218" t="s">
        <v>89</v>
      </c>
      <c r="B5" s="219">
        <v>1</v>
      </c>
      <c r="C5" s="220">
        <v>9</v>
      </c>
      <c r="D5" s="219">
        <v>1</v>
      </c>
      <c r="E5" s="220">
        <v>12.21</v>
      </c>
      <c r="F5" s="219">
        <v>0</v>
      </c>
      <c r="G5" s="220">
        <v>0</v>
      </c>
    </row>
    <row r="6" spans="1:7" s="125" customFormat="1" x14ac:dyDescent="0.2">
      <c r="A6" s="218" t="s">
        <v>855</v>
      </c>
      <c r="B6" s="219">
        <v>1</v>
      </c>
      <c r="C6" s="220">
        <v>1131</v>
      </c>
      <c r="D6" s="219">
        <v>0</v>
      </c>
      <c r="E6" s="220">
        <v>0</v>
      </c>
      <c r="F6" s="219">
        <v>0</v>
      </c>
      <c r="G6" s="220">
        <v>0</v>
      </c>
    </row>
    <row r="7" spans="1:7" s="125" customFormat="1" x14ac:dyDescent="0.2">
      <c r="A7" s="218" t="s">
        <v>856</v>
      </c>
      <c r="B7" s="219">
        <v>4</v>
      </c>
      <c r="C7" s="220">
        <v>542</v>
      </c>
      <c r="D7" s="219">
        <v>0</v>
      </c>
      <c r="E7" s="220">
        <v>0</v>
      </c>
      <c r="F7" s="219">
        <v>0</v>
      </c>
      <c r="G7" s="220">
        <v>0</v>
      </c>
    </row>
    <row r="8" spans="1:7" s="125" customFormat="1" x14ac:dyDescent="0.2">
      <c r="A8" s="218" t="s">
        <v>857</v>
      </c>
      <c r="B8" s="219">
        <v>4</v>
      </c>
      <c r="C8" s="220">
        <v>622</v>
      </c>
      <c r="D8" s="219">
        <v>3</v>
      </c>
      <c r="E8" s="220">
        <v>141.13999999999999</v>
      </c>
      <c r="F8" s="219">
        <v>2</v>
      </c>
      <c r="G8" s="220">
        <v>8.7899999999999991</v>
      </c>
    </row>
    <row r="9" spans="1:7" s="125" customFormat="1" x14ac:dyDescent="0.2">
      <c r="A9" s="218" t="s">
        <v>90</v>
      </c>
      <c r="B9" s="219">
        <v>2</v>
      </c>
      <c r="C9" s="220">
        <v>59</v>
      </c>
      <c r="D9" s="219">
        <v>1</v>
      </c>
      <c r="E9" s="220">
        <v>42</v>
      </c>
      <c r="F9" s="219">
        <v>1</v>
      </c>
      <c r="G9" s="220">
        <v>42</v>
      </c>
    </row>
    <row r="10" spans="1:7" s="125" customFormat="1" x14ac:dyDescent="0.2">
      <c r="A10" s="218" t="s">
        <v>91</v>
      </c>
      <c r="B10" s="219">
        <v>8</v>
      </c>
      <c r="C10" s="220">
        <v>266</v>
      </c>
      <c r="D10" s="219">
        <v>2</v>
      </c>
      <c r="E10" s="220">
        <v>1347.19</v>
      </c>
      <c r="F10" s="219">
        <v>1</v>
      </c>
      <c r="G10" s="220">
        <v>1.93</v>
      </c>
    </row>
    <row r="11" spans="1:7" s="125" customFormat="1" x14ac:dyDescent="0.2">
      <c r="A11" s="218" t="s">
        <v>92</v>
      </c>
      <c r="B11" s="219">
        <v>9</v>
      </c>
      <c r="C11" s="220">
        <v>467</v>
      </c>
      <c r="D11" s="219">
        <v>1</v>
      </c>
      <c r="E11" s="220">
        <v>477.11</v>
      </c>
      <c r="F11" s="219">
        <v>0</v>
      </c>
      <c r="G11" s="220">
        <v>0</v>
      </c>
    </row>
    <row r="12" spans="1:7" s="125" customFormat="1" x14ac:dyDescent="0.2">
      <c r="A12" s="218" t="s">
        <v>93</v>
      </c>
      <c r="B12" s="219">
        <v>1</v>
      </c>
      <c r="C12" s="220">
        <v>1</v>
      </c>
      <c r="D12" s="219">
        <v>1</v>
      </c>
      <c r="E12" s="220">
        <v>2.27</v>
      </c>
      <c r="F12" s="219">
        <v>0</v>
      </c>
      <c r="G12" s="220">
        <v>0</v>
      </c>
    </row>
    <row r="13" spans="1:7" s="125" customFormat="1" x14ac:dyDescent="0.2">
      <c r="A13" s="218" t="s">
        <v>94</v>
      </c>
      <c r="B13" s="219">
        <v>4</v>
      </c>
      <c r="C13" s="220">
        <v>3739</v>
      </c>
      <c r="D13" s="219">
        <v>0</v>
      </c>
      <c r="E13" s="220">
        <v>0</v>
      </c>
      <c r="F13" s="219">
        <v>0</v>
      </c>
      <c r="G13" s="220">
        <v>0</v>
      </c>
    </row>
    <row r="14" spans="1:7" s="125" customFormat="1" x14ac:dyDescent="0.2">
      <c r="A14" s="218" t="s">
        <v>95</v>
      </c>
      <c r="B14" s="219">
        <v>4</v>
      </c>
      <c r="C14" s="220">
        <v>90</v>
      </c>
      <c r="D14" s="219">
        <v>0</v>
      </c>
      <c r="E14" s="220">
        <v>0</v>
      </c>
      <c r="F14" s="219">
        <v>0</v>
      </c>
      <c r="G14" s="220">
        <v>0</v>
      </c>
    </row>
    <row r="15" spans="1:7" s="125" customFormat="1" x14ac:dyDescent="0.2">
      <c r="A15" s="218" t="s">
        <v>96</v>
      </c>
      <c r="B15" s="219">
        <v>3</v>
      </c>
      <c r="C15" s="220">
        <v>58</v>
      </c>
      <c r="D15" s="219">
        <v>2</v>
      </c>
      <c r="E15" s="220">
        <v>1242.2</v>
      </c>
      <c r="F15" s="219">
        <v>1</v>
      </c>
      <c r="G15" s="220">
        <v>37.909999999999997</v>
      </c>
    </row>
    <row r="16" spans="1:7" s="125" customFormat="1" x14ac:dyDescent="0.2">
      <c r="A16" s="218" t="s">
        <v>97</v>
      </c>
      <c r="B16" s="219">
        <v>3</v>
      </c>
      <c r="C16" s="220">
        <v>1647</v>
      </c>
      <c r="D16" s="219">
        <v>0</v>
      </c>
      <c r="E16" s="220">
        <v>0</v>
      </c>
      <c r="F16" s="219">
        <v>0</v>
      </c>
      <c r="G16" s="220">
        <v>0</v>
      </c>
    </row>
    <row r="17" spans="1:7" s="125" customFormat="1" x14ac:dyDescent="0.2">
      <c r="A17" s="218" t="s">
        <v>98</v>
      </c>
      <c r="B17" s="219">
        <v>2</v>
      </c>
      <c r="C17" s="220">
        <v>45</v>
      </c>
      <c r="D17" s="219">
        <v>0</v>
      </c>
      <c r="E17" s="220">
        <v>0</v>
      </c>
      <c r="F17" s="219">
        <v>0</v>
      </c>
      <c r="G17" s="220">
        <v>0</v>
      </c>
    </row>
    <row r="18" spans="1:7" s="125" customFormat="1" x14ac:dyDescent="0.2">
      <c r="A18" s="218" t="s">
        <v>103</v>
      </c>
      <c r="B18" s="219" t="s">
        <v>863</v>
      </c>
      <c r="C18" s="220" t="s">
        <v>863</v>
      </c>
      <c r="D18" s="219">
        <v>0</v>
      </c>
      <c r="E18" s="220">
        <v>0</v>
      </c>
      <c r="F18" s="219">
        <v>0</v>
      </c>
      <c r="G18" s="220">
        <v>0</v>
      </c>
    </row>
    <row r="19" spans="1:7" s="125" customFormat="1" x14ac:dyDescent="0.2">
      <c r="A19" s="218" t="s">
        <v>858</v>
      </c>
      <c r="B19" s="219">
        <v>1</v>
      </c>
      <c r="C19" s="220">
        <v>10</v>
      </c>
      <c r="D19" s="219">
        <v>0</v>
      </c>
      <c r="E19" s="220">
        <v>0</v>
      </c>
      <c r="F19" s="219">
        <v>0</v>
      </c>
      <c r="G19" s="220">
        <v>0</v>
      </c>
    </row>
    <row r="20" spans="1:7" s="125" customFormat="1" x14ac:dyDescent="0.2">
      <c r="A20" s="218" t="s">
        <v>100</v>
      </c>
      <c r="B20" s="219">
        <v>2</v>
      </c>
      <c r="C20" s="220">
        <v>39</v>
      </c>
      <c r="D20" s="219">
        <v>0</v>
      </c>
      <c r="E20" s="220">
        <v>0</v>
      </c>
      <c r="F20" s="219">
        <v>0</v>
      </c>
      <c r="G20" s="220">
        <v>0</v>
      </c>
    </row>
    <row r="21" spans="1:7" s="125" customFormat="1" x14ac:dyDescent="0.2">
      <c r="A21" s="218" t="s">
        <v>101</v>
      </c>
      <c r="B21" s="219" t="s">
        <v>863</v>
      </c>
      <c r="C21" s="220" t="s">
        <v>862</v>
      </c>
      <c r="D21" s="219">
        <v>0</v>
      </c>
      <c r="E21" s="220">
        <v>0</v>
      </c>
      <c r="F21" s="219">
        <v>0</v>
      </c>
      <c r="G21" s="220">
        <v>0</v>
      </c>
    </row>
    <row r="22" spans="1:7" s="125" customFormat="1" x14ac:dyDescent="0.2">
      <c r="A22" s="218" t="s">
        <v>102</v>
      </c>
      <c r="B22" s="219" t="s">
        <v>862</v>
      </c>
      <c r="C22" s="220" t="s">
        <v>862</v>
      </c>
      <c r="D22" s="219">
        <v>1</v>
      </c>
      <c r="E22" s="220">
        <v>6.58</v>
      </c>
      <c r="F22" s="219">
        <v>0</v>
      </c>
      <c r="G22" s="220">
        <v>0</v>
      </c>
    </row>
    <row r="23" spans="1:7" s="125" customFormat="1" x14ac:dyDescent="0.2">
      <c r="A23" s="218" t="s">
        <v>859</v>
      </c>
      <c r="B23" s="219" t="s">
        <v>862</v>
      </c>
      <c r="C23" s="220" t="s">
        <v>862</v>
      </c>
      <c r="D23" s="219">
        <v>0</v>
      </c>
      <c r="E23" s="220">
        <v>0</v>
      </c>
      <c r="F23" s="219">
        <v>0</v>
      </c>
      <c r="G23" s="220">
        <v>0</v>
      </c>
    </row>
    <row r="24" spans="1:7" s="125" customFormat="1" x14ac:dyDescent="0.2">
      <c r="A24" s="218" t="s">
        <v>99</v>
      </c>
      <c r="B24" s="219" t="s">
        <v>862</v>
      </c>
      <c r="C24" s="220" t="s">
        <v>863</v>
      </c>
      <c r="D24" s="219">
        <v>2</v>
      </c>
      <c r="E24" s="220">
        <v>49371.990000000005</v>
      </c>
      <c r="F24" s="219">
        <v>1</v>
      </c>
      <c r="G24" s="220">
        <v>24372.2</v>
      </c>
    </row>
    <row r="25" spans="1:7" s="125" customFormat="1" x14ac:dyDescent="0.2">
      <c r="A25" s="218" t="s">
        <v>860</v>
      </c>
      <c r="B25" s="219">
        <v>10</v>
      </c>
      <c r="C25" s="220">
        <v>1321</v>
      </c>
      <c r="D25" s="219">
        <v>0</v>
      </c>
      <c r="E25" s="220">
        <v>0</v>
      </c>
      <c r="F25" s="219">
        <v>0</v>
      </c>
      <c r="G25" s="220">
        <v>0</v>
      </c>
    </row>
    <row r="26" spans="1:7" s="125" customFormat="1" x14ac:dyDescent="0.2">
      <c r="A26" s="218" t="s">
        <v>861</v>
      </c>
      <c r="B26" s="219">
        <v>74</v>
      </c>
      <c r="C26" s="220">
        <v>8189</v>
      </c>
      <c r="D26" s="219">
        <v>3</v>
      </c>
      <c r="E26" s="220">
        <v>68.56</v>
      </c>
      <c r="F26" s="219">
        <v>1</v>
      </c>
      <c r="G26" s="220">
        <v>15.46</v>
      </c>
    </row>
    <row r="27" spans="1:7" s="224" customFormat="1" x14ac:dyDescent="0.25">
      <c r="A27" s="221" t="s">
        <v>64</v>
      </c>
      <c r="B27" s="222">
        <f t="shared" ref="B27:G27" si="0">SUM(B4:B26)</f>
        <v>133</v>
      </c>
      <c r="C27" s="223">
        <f t="shared" si="0"/>
        <v>18235</v>
      </c>
      <c r="D27" s="222">
        <f t="shared" si="0"/>
        <v>17</v>
      </c>
      <c r="E27" s="223">
        <f t="shared" si="0"/>
        <v>52711.25</v>
      </c>
      <c r="F27" s="222">
        <f t="shared" si="0"/>
        <v>7</v>
      </c>
      <c r="G27" s="223">
        <f t="shared" si="0"/>
        <v>24478.29</v>
      </c>
    </row>
    <row r="28" spans="1:7" s="189" customFormat="1" ht="12" x14ac:dyDescent="0.2">
      <c r="A28" s="575" t="s">
        <v>846</v>
      </c>
      <c r="B28" s="575"/>
      <c r="C28" s="575"/>
      <c r="D28" s="575"/>
      <c r="E28" s="575"/>
      <c r="F28" s="575"/>
      <c r="G28" s="575"/>
    </row>
    <row r="29" spans="1:7" s="189" customFormat="1" ht="12" x14ac:dyDescent="0.2">
      <c r="A29" s="575" t="s">
        <v>56</v>
      </c>
      <c r="B29" s="575"/>
      <c r="C29" s="575"/>
      <c r="D29" s="575"/>
      <c r="E29" s="575"/>
      <c r="F29" s="575"/>
      <c r="G29" s="575"/>
    </row>
    <row r="30" spans="1:7" s="125" customFormat="1" x14ac:dyDescent="0.2"/>
  </sheetData>
  <mergeCells count="7">
    <mergeCell ref="A29:G29"/>
    <mergeCell ref="A1:G1"/>
    <mergeCell ref="A2:A3"/>
    <mergeCell ref="D2:E2"/>
    <mergeCell ref="F2:G2"/>
    <mergeCell ref="A28:G28"/>
    <mergeCell ref="B2:C2"/>
  </mergeCells>
  <pageMargins left="0.78431372549019618" right="0.78431372549019618" top="0.98039215686274517" bottom="0.98039215686274517" header="0.50980392156862753" footer="0.50980392156862753"/>
  <pageSetup paperSize="9" orientation="portrait" useFirstPageNumber="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zoomScaleNormal="100" workbookViewId="0">
      <selection activeCell="I13" sqref="I13"/>
    </sheetView>
  </sheetViews>
  <sheetFormatPr defaultRowHeight="15" x14ac:dyDescent="0.25"/>
  <cols>
    <col min="1" max="1" width="8.85546875" style="123" customWidth="1"/>
    <col min="2" max="2" width="7.85546875" style="123" customWidth="1"/>
    <col min="3" max="3" width="11.140625" style="123" customWidth="1"/>
    <col min="4" max="4" width="9.7109375" style="123" customWidth="1"/>
    <col min="5" max="5" width="9.28515625" style="123" customWidth="1"/>
    <col min="6" max="7" width="8.85546875" style="123" customWidth="1"/>
    <col min="8" max="8" width="8.5703125" style="123" customWidth="1"/>
    <col min="9" max="9" width="9.7109375" style="123" customWidth="1"/>
    <col min="10" max="10" width="8.42578125" style="123" customWidth="1"/>
    <col min="11" max="11" width="9.28515625" style="123" customWidth="1"/>
    <col min="12" max="12" width="8.85546875" style="123" customWidth="1"/>
    <col min="13" max="13" width="9.85546875" style="123" customWidth="1"/>
    <col min="14" max="14" width="8.85546875" style="123" customWidth="1"/>
    <col min="15" max="15" width="9.140625" style="123" customWidth="1"/>
    <col min="16" max="16" width="8.28515625" style="123" customWidth="1"/>
    <col min="17" max="17" width="9" style="123" customWidth="1"/>
    <col min="18" max="18" width="4.7109375" style="123" bestFit="1" customWidth="1"/>
    <col min="19" max="16384" width="9.140625" style="123"/>
  </cols>
  <sheetData>
    <row r="1" spans="1:17" ht="16.5" customHeight="1" x14ac:dyDescent="0.25">
      <c r="A1" s="612" t="str">
        <f>'Data Summary'!$A$10</f>
        <v>Table 8:  Sector-wise and Region-wise Distribution of Capital Mobilised through Public and Rights Issues (Equity)</v>
      </c>
      <c r="B1" s="612"/>
      <c r="C1" s="612"/>
      <c r="D1" s="612"/>
      <c r="E1" s="612"/>
      <c r="F1" s="612"/>
      <c r="G1" s="612"/>
      <c r="H1" s="612"/>
      <c r="I1" s="612"/>
      <c r="J1" s="612"/>
      <c r="K1" s="612"/>
      <c r="L1" s="612"/>
    </row>
    <row r="2" spans="1:17" s="122" customFormat="1" ht="18" customHeight="1" x14ac:dyDescent="0.2">
      <c r="A2" s="591" t="s">
        <v>61</v>
      </c>
      <c r="B2" s="614" t="s">
        <v>64</v>
      </c>
      <c r="C2" s="615"/>
      <c r="D2" s="618" t="s">
        <v>104</v>
      </c>
      <c r="E2" s="619"/>
      <c r="F2" s="619"/>
      <c r="G2" s="620"/>
      <c r="H2" s="618" t="s">
        <v>105</v>
      </c>
      <c r="I2" s="619"/>
      <c r="J2" s="619"/>
      <c r="K2" s="619"/>
      <c r="L2" s="619"/>
      <c r="M2" s="619"/>
      <c r="N2" s="619"/>
      <c r="O2" s="619"/>
      <c r="P2" s="619"/>
      <c r="Q2" s="619"/>
    </row>
    <row r="3" spans="1:17" s="122" customFormat="1" ht="18" customHeight="1" x14ac:dyDescent="0.2">
      <c r="A3" s="613"/>
      <c r="B3" s="616"/>
      <c r="C3" s="617"/>
      <c r="D3" s="618" t="s">
        <v>106</v>
      </c>
      <c r="E3" s="620"/>
      <c r="F3" s="618" t="s">
        <v>74</v>
      </c>
      <c r="G3" s="620"/>
      <c r="H3" s="618" t="s">
        <v>107</v>
      </c>
      <c r="I3" s="620"/>
      <c r="J3" s="618" t="s">
        <v>108</v>
      </c>
      <c r="K3" s="620"/>
      <c r="L3" s="618" t="s">
        <v>109</v>
      </c>
      <c r="M3" s="620"/>
      <c r="N3" s="618" t="s">
        <v>110</v>
      </c>
      <c r="O3" s="620"/>
      <c r="P3" s="618" t="s">
        <v>111</v>
      </c>
      <c r="Q3" s="620"/>
    </row>
    <row r="4" spans="1:17" s="122" customFormat="1" ht="35.25" customHeight="1" x14ac:dyDescent="0.2">
      <c r="A4" s="592"/>
      <c r="B4" s="124" t="s">
        <v>112</v>
      </c>
      <c r="C4" s="7" t="s">
        <v>113</v>
      </c>
      <c r="D4" s="124" t="s">
        <v>112</v>
      </c>
      <c r="E4" s="7" t="s">
        <v>114</v>
      </c>
      <c r="F4" s="124" t="s">
        <v>112</v>
      </c>
      <c r="G4" s="7" t="s">
        <v>114</v>
      </c>
      <c r="H4" s="124" t="s">
        <v>112</v>
      </c>
      <c r="I4" s="7" t="s">
        <v>114</v>
      </c>
      <c r="J4" s="124" t="s">
        <v>112</v>
      </c>
      <c r="K4" s="7" t="s">
        <v>114</v>
      </c>
      <c r="L4" s="124" t="s">
        <v>112</v>
      </c>
      <c r="M4" s="7" t="s">
        <v>114</v>
      </c>
      <c r="N4" s="124" t="s">
        <v>112</v>
      </c>
      <c r="O4" s="7" t="s">
        <v>114</v>
      </c>
      <c r="P4" s="124" t="s">
        <v>112</v>
      </c>
      <c r="Q4" s="7" t="s">
        <v>114</v>
      </c>
    </row>
    <row r="5" spans="1:17" s="122" customFormat="1" x14ac:dyDescent="0.25">
      <c r="A5" s="209" t="s">
        <v>5</v>
      </c>
      <c r="B5" s="282">
        <f>D5+F5</f>
        <v>133</v>
      </c>
      <c r="C5" s="149">
        <f>E5+G5</f>
        <v>18235.189999999999</v>
      </c>
      <c r="D5" s="282">
        <v>129</v>
      </c>
      <c r="E5" s="149">
        <v>16753.349999999999</v>
      </c>
      <c r="F5" s="282">
        <v>4</v>
      </c>
      <c r="G5" s="149">
        <v>1481.84</v>
      </c>
      <c r="H5" s="282">
        <v>27</v>
      </c>
      <c r="I5" s="149">
        <v>3344.9586926000002</v>
      </c>
      <c r="J5" s="282">
        <v>9</v>
      </c>
      <c r="K5" s="149">
        <v>700.16949999999997</v>
      </c>
      <c r="L5" s="282">
        <v>82</v>
      </c>
      <c r="M5" s="149">
        <v>12172.0536261</v>
      </c>
      <c r="N5" s="282">
        <v>10</v>
      </c>
      <c r="O5" s="149">
        <v>61895.099231300002</v>
      </c>
      <c r="P5" s="126">
        <v>5</v>
      </c>
      <c r="Q5" s="149">
        <v>122.9088</v>
      </c>
    </row>
    <row r="6" spans="1:17" s="122" customFormat="1" x14ac:dyDescent="0.25">
      <c r="A6" s="209" t="s">
        <v>6</v>
      </c>
      <c r="B6" s="282">
        <f>SUM(B7:B8)</f>
        <v>17</v>
      </c>
      <c r="C6" s="149">
        <f t="shared" ref="C6:Q6" si="0">SUM(C7:C8)</f>
        <v>52711.252544000003</v>
      </c>
      <c r="D6" s="282">
        <f t="shared" si="0"/>
        <v>16</v>
      </c>
      <c r="E6" s="149">
        <f t="shared" si="0"/>
        <v>52234.142544000002</v>
      </c>
      <c r="F6" s="282">
        <f t="shared" si="0"/>
        <v>1</v>
      </c>
      <c r="G6" s="149">
        <f t="shared" si="0"/>
        <v>477.11</v>
      </c>
      <c r="H6" s="282">
        <f t="shared" si="0"/>
        <v>5</v>
      </c>
      <c r="I6" s="149">
        <f t="shared" si="0"/>
        <v>26207.040000000001</v>
      </c>
      <c r="J6" s="282">
        <f t="shared" si="0"/>
        <v>0</v>
      </c>
      <c r="K6" s="149">
        <f t="shared" si="0"/>
        <v>0</v>
      </c>
      <c r="L6" s="282">
        <f t="shared" si="0"/>
        <v>12</v>
      </c>
      <c r="M6" s="149">
        <f t="shared" si="0"/>
        <v>26504.21</v>
      </c>
      <c r="N6" s="282">
        <f t="shared" si="0"/>
        <v>0</v>
      </c>
      <c r="O6" s="149">
        <f t="shared" si="0"/>
        <v>0</v>
      </c>
      <c r="P6" s="282">
        <f t="shared" si="0"/>
        <v>0</v>
      </c>
      <c r="Q6" s="149">
        <f t="shared" si="0"/>
        <v>0</v>
      </c>
    </row>
    <row r="7" spans="1:17" s="122" customFormat="1" x14ac:dyDescent="0.25">
      <c r="A7" s="157" t="s">
        <v>70</v>
      </c>
      <c r="B7" s="282">
        <f t="shared" ref="B7:B8" si="1">D7+F7</f>
        <v>10</v>
      </c>
      <c r="C7" s="149">
        <f t="shared" ref="C7:C8" si="2">E7+G7</f>
        <v>28232.959999999999</v>
      </c>
      <c r="D7" s="282">
        <v>9</v>
      </c>
      <c r="E7" s="149">
        <v>27755.85</v>
      </c>
      <c r="F7" s="282">
        <v>1</v>
      </c>
      <c r="G7" s="149">
        <v>477.11</v>
      </c>
      <c r="H7" s="282">
        <v>3</v>
      </c>
      <c r="I7" s="149">
        <v>1834.58</v>
      </c>
      <c r="J7" s="282">
        <v>0</v>
      </c>
      <c r="K7" s="149">
        <v>0</v>
      </c>
      <c r="L7" s="282">
        <v>7</v>
      </c>
      <c r="M7" s="149">
        <v>26398.379999999997</v>
      </c>
      <c r="N7" s="282">
        <v>0</v>
      </c>
      <c r="O7" s="149">
        <v>0</v>
      </c>
      <c r="P7" s="282">
        <v>0</v>
      </c>
      <c r="Q7" s="149">
        <v>0</v>
      </c>
    </row>
    <row r="8" spans="1:17" s="122" customFormat="1" x14ac:dyDescent="0.25">
      <c r="A8" s="210">
        <v>43586</v>
      </c>
      <c r="B8" s="282">
        <f t="shared" si="1"/>
        <v>7</v>
      </c>
      <c r="C8" s="149">
        <f t="shared" si="2"/>
        <v>24478.292544</v>
      </c>
      <c r="D8" s="282">
        <v>7</v>
      </c>
      <c r="E8" s="149">
        <v>24478.292544</v>
      </c>
      <c r="F8" s="282">
        <v>0</v>
      </c>
      <c r="G8" s="149">
        <v>0</v>
      </c>
      <c r="H8" s="282">
        <v>2</v>
      </c>
      <c r="I8" s="149">
        <v>24372.46</v>
      </c>
      <c r="J8" s="282">
        <v>0</v>
      </c>
      <c r="K8" s="149">
        <v>0</v>
      </c>
      <c r="L8" s="282">
        <v>5</v>
      </c>
      <c r="M8" s="149">
        <v>105.83</v>
      </c>
      <c r="N8" s="282">
        <v>0</v>
      </c>
      <c r="O8" s="149">
        <v>0</v>
      </c>
      <c r="P8" s="282">
        <v>0</v>
      </c>
      <c r="Q8" s="149">
        <v>0</v>
      </c>
    </row>
    <row r="9" spans="1:17" s="125" customFormat="1" ht="19.5" customHeight="1" x14ac:dyDescent="0.2">
      <c r="A9" s="575" t="s">
        <v>846</v>
      </c>
      <c r="B9" s="575"/>
      <c r="C9" s="575"/>
    </row>
    <row r="10" spans="1:17" s="125" customFormat="1" ht="18" customHeight="1" x14ac:dyDescent="0.2">
      <c r="A10" s="575" t="s">
        <v>56</v>
      </c>
      <c r="B10" s="575"/>
      <c r="C10" s="575"/>
    </row>
    <row r="11" spans="1:17" s="125" customFormat="1" ht="26.85" customHeight="1" x14ac:dyDescent="0.2"/>
  </sheetData>
  <mergeCells count="14">
    <mergeCell ref="A9:C9"/>
    <mergeCell ref="A10:C10"/>
    <mergeCell ref="A1:L1"/>
    <mergeCell ref="A2:A4"/>
    <mergeCell ref="B2:C3"/>
    <mergeCell ref="D2:G2"/>
    <mergeCell ref="H2:Q2"/>
    <mergeCell ref="D3:E3"/>
    <mergeCell ref="F3:G3"/>
    <mergeCell ref="H3:I3"/>
    <mergeCell ref="J3:K3"/>
    <mergeCell ref="L3:M3"/>
    <mergeCell ref="N3:O3"/>
    <mergeCell ref="P3:Q3"/>
  </mergeCells>
  <pageMargins left="0.78431372549019618" right="0.78431372549019618" top="0.98039215686274517" bottom="0.98039215686274517" header="0.50980392156862753" footer="0.50980392156862753"/>
  <pageSetup paperSize="9" scale="49"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76</vt:i4>
      </vt:variant>
      <vt:variant>
        <vt:lpstr>Named Ranges</vt:lpstr>
      </vt:variant>
      <vt:variant>
        <vt:i4>15</vt:i4>
      </vt:variant>
    </vt:vector>
  </HeadingPairs>
  <TitlesOfParts>
    <vt:vector size="91" baseType="lpstr">
      <vt:lpstr>Data Summary</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65</vt:lpstr>
      <vt:lpstr>66</vt:lpstr>
      <vt:lpstr>67</vt:lpstr>
      <vt:lpstr>68</vt:lpstr>
      <vt:lpstr>69</vt:lpstr>
      <vt:lpstr>70</vt:lpstr>
      <vt:lpstr>71</vt:lpstr>
      <vt:lpstr>72</vt:lpstr>
      <vt:lpstr>73</vt:lpstr>
      <vt:lpstr>74</vt:lpstr>
      <vt:lpstr>75</vt:lpstr>
      <vt:lpstr>76</vt:lpstr>
      <vt:lpstr>'15'!Print_Area</vt:lpstr>
      <vt:lpstr>'16'!Print_Area</vt:lpstr>
      <vt:lpstr>'55'!Print_Area</vt:lpstr>
      <vt:lpstr>'61'!Print_Area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Laltu Pore</dc:creator>
  <cp:lastModifiedBy>Vanessa Quadri</cp:lastModifiedBy>
  <cp:lastPrinted>2019-06-11T09:23:32Z</cp:lastPrinted>
  <dcterms:created xsi:type="dcterms:W3CDTF">2019-05-16T10:21:30Z</dcterms:created>
  <dcterms:modified xsi:type="dcterms:W3CDTF">2019-07-03T07:14:23Z</dcterms:modified>
</cp:coreProperties>
</file>