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codeName="ThisWorkbook" defaultThemeVersion="164011"/>
  <bookViews>
    <workbookView xWindow="0" yWindow="0" windowWidth="20490" windowHeight="7605" firstSheet="1" activeTab="5"/>
  </bookViews>
  <sheets>
    <sheet name="Data Summary" sheetId="2" r:id="rId1"/>
    <sheet name="1" sheetId="78" r:id="rId2"/>
    <sheet name="2" sheetId="4" r:id="rId3"/>
    <sheet name="3" sheetId="139" r:id="rId4"/>
    <sheet name="4" sheetId="140" r:id="rId5"/>
    <sheet name="5" sheetId="79" r:id="rId6"/>
    <sheet name="6" sheetId="8" r:id="rId7"/>
    <sheet name="7" sheetId="9" r:id="rId8"/>
    <sheet name="8" sheetId="10" r:id="rId9"/>
    <sheet name="9" sheetId="11" r:id="rId10"/>
    <sheet name="10" sheetId="12" r:id="rId11"/>
    <sheet name="11" sheetId="13" r:id="rId12"/>
    <sheet name="12" sheetId="14" r:id="rId13"/>
    <sheet name="13 " sheetId="141" r:id="rId14"/>
    <sheet name="14" sheetId="15" r:id="rId15"/>
    <sheet name="15" sheetId="16" r:id="rId16"/>
    <sheet name="16" sheetId="142" r:id="rId17"/>
    <sheet name="17" sheetId="143" r:id="rId18"/>
    <sheet name="18" sheetId="144" r:id="rId19"/>
    <sheet name="19" sheetId="145" r:id="rId20"/>
    <sheet name="20" sheetId="146" r:id="rId21"/>
    <sheet name="22" sheetId="148" r:id="rId22"/>
    <sheet name="21" sheetId="147" r:id="rId23"/>
    <sheet name="23" sheetId="149" r:id="rId24"/>
    <sheet name="24" sheetId="150" r:id="rId25"/>
    <sheet name="25" sheetId="151" r:id="rId26"/>
    <sheet name="26" sheetId="152" r:id="rId27"/>
    <sheet name="27" sheetId="153" r:id="rId28"/>
    <sheet name="28" sheetId="154" r:id="rId29"/>
    <sheet name="29" sheetId="155" r:id="rId30"/>
    <sheet name="30" sheetId="156" r:id="rId31"/>
    <sheet name="32" sheetId="158" r:id="rId32"/>
    <sheet name="31" sheetId="157" r:id="rId33"/>
    <sheet name="33" sheetId="159" r:id="rId34"/>
    <sheet name="34" sheetId="160" r:id="rId35"/>
    <sheet name="35" sheetId="161" r:id="rId36"/>
    <sheet name="36" sheetId="162" r:id="rId37"/>
    <sheet name="37" sheetId="163" r:id="rId38"/>
    <sheet name="38" sheetId="164" r:id="rId39"/>
    <sheet name="39" sheetId="165" r:id="rId40"/>
    <sheet name="40" sheetId="166" r:id="rId41"/>
    <sheet name="41" sheetId="167" r:id="rId42"/>
    <sheet name="42" sheetId="168" r:id="rId43"/>
    <sheet name="43" sheetId="169" r:id="rId44"/>
    <sheet name="44" sheetId="170" r:id="rId45"/>
    <sheet name="45" sheetId="171" r:id="rId46"/>
    <sheet name="46" sheetId="172" r:id="rId47"/>
    <sheet name="47" sheetId="173" r:id="rId48"/>
    <sheet name="48" sheetId="174" r:id="rId49"/>
    <sheet name="49" sheetId="175" r:id="rId50"/>
    <sheet name="50" sheetId="176" r:id="rId51"/>
    <sheet name="51" sheetId="177" r:id="rId52"/>
    <sheet name="52" sheetId="178" r:id="rId53"/>
    <sheet name="53" sheetId="182" r:id="rId54"/>
    <sheet name="54" sheetId="183" r:id="rId55"/>
    <sheet name="55" sheetId="184" r:id="rId56"/>
    <sheet name="56" sheetId="185" r:id="rId57"/>
    <sheet name="57" sheetId="186" r:id="rId58"/>
    <sheet name="58" sheetId="187" r:id="rId59"/>
    <sheet name="59" sheetId="188" r:id="rId60"/>
    <sheet name="60" sheetId="189" r:id="rId61"/>
    <sheet name="61 " sheetId="179" r:id="rId62"/>
    <sheet name="62" sheetId="180" r:id="rId63"/>
    <sheet name="63" sheetId="181" r:id="rId64"/>
    <sheet name="64" sheetId="190" r:id="rId65"/>
    <sheet name="65" sheetId="191" r:id="rId66"/>
    <sheet name="66" sheetId="192" r:id="rId67"/>
    <sheet name="67" sheetId="193" r:id="rId68"/>
    <sheet name="68" sheetId="194" r:id="rId69"/>
    <sheet name="69" sheetId="195" r:id="rId70"/>
    <sheet name="70" sheetId="196" r:id="rId71"/>
    <sheet name="71" sheetId="197" r:id="rId72"/>
    <sheet name="72" sheetId="198" r:id="rId73"/>
    <sheet name="73" sheetId="199" r:id="rId74"/>
    <sheet name="74" sheetId="17" r:id="rId75"/>
  </sheets>
  <externalReferences>
    <externalReference r:id="rId76"/>
    <externalReference r:id="rId77"/>
    <externalReference r:id="rId78"/>
    <externalReference r:id="rId79"/>
    <externalReference r:id="rId80"/>
    <externalReference r:id="rId81"/>
  </externalReferences>
  <definedNames>
    <definedName name="_xlnm._FilterDatabase" localSheetId="2" hidden="1">'2'!$A$3:$Q$41</definedName>
    <definedName name="_xlnm._FilterDatabase" localSheetId="3" hidden="1">'3'!$A$2:$J$3</definedName>
    <definedName name="_xlnm._FilterDatabase" localSheetId="72" hidden="1">'72'!#REF!</definedName>
    <definedName name="BSE">INDEX([1]Indices!$G$2:$G$166,MATCH([1]Indices!#REF!,[1]Indices!$E$2:$E$166)):INDEX([1]Indices!$G$2:$G$166,MATCH([1]Indices!#REF!,[1]Indices!$E$2:$E$166))</definedName>
    <definedName name="Date">INDEX([1]Indices!$E$2:$E$166,MATCH([1]Indices!#REF!,[1]Indices!$E$2:$E$166)):INDEX([1]Indices!$E$2:$E$166,MATCH([1]Indices!#REF!,[1]Indices!$E$2:$E$166))</definedName>
    <definedName name="fa" hidden="1">#REF!</definedName>
    <definedName name="NSE">INDEX([1]Indices!$F$2:$F$166,MATCH([1]Indices!#REF!,[1]Indices!$E$2:$E$166)):INDEX([1]Indices!$F$2:$F$166,MATCH([1]Indices!#REF!,[1]Indices!$E$2:$E$166))</definedName>
    <definedName name="_xlnm.Print_Area" localSheetId="1">'1'!$A$1:$C$64</definedName>
    <definedName name="_xlnm.Print_Area" localSheetId="10">'10'!$A$1:$K$21</definedName>
    <definedName name="_xlnm.Print_Area" localSheetId="11">'11'!$A$1:$K$21</definedName>
    <definedName name="_xlnm.Print_Area" localSheetId="12">'12'!$A$1:$I$20</definedName>
    <definedName name="_xlnm.Print_Area" localSheetId="14">'14'!$A$1:$M$14</definedName>
    <definedName name="_xlnm.Print_Area" localSheetId="15">'15'!$A$1:$K$14</definedName>
    <definedName name="_xlnm.Print_Area" localSheetId="16">'16'!$A$1:$D$10</definedName>
    <definedName name="_xlnm.Print_Area" localSheetId="17">'17'!$A$1:$P$21</definedName>
    <definedName name="_xlnm.Print_Area" localSheetId="18">'18'!$A$1:$Q$23</definedName>
    <definedName name="_xlnm.Print_Area" localSheetId="19">'19'!$A$1:$P$22</definedName>
    <definedName name="_xlnm.Print_Area" localSheetId="2">'2'!$A$1:$Q$45</definedName>
    <definedName name="_xlnm.Print_Area" localSheetId="20">'20'!$A$1:$H$32</definedName>
    <definedName name="_xlnm.Print_Area" localSheetId="22">'21'!$A$1:$F$20</definedName>
    <definedName name="_xlnm.Print_Area" localSheetId="24">'24'!$A$1:$J$39</definedName>
    <definedName name="_xlnm.Print_Area" localSheetId="3">'3'!$A$1:$J$4</definedName>
    <definedName name="_xlnm.Print_Area" localSheetId="34">'34'!$A$1:$W$27</definedName>
    <definedName name="_xlnm.Print_Area" localSheetId="35">'35'!$A$1:$W$26</definedName>
    <definedName name="_xlnm.Print_Area" localSheetId="4">'4'!$A$1:$I$23</definedName>
    <definedName name="_xlnm.Print_Area" localSheetId="49">'49'!$A$1:$K$20</definedName>
    <definedName name="_xlnm.Print_Area" localSheetId="5">'5'!$1:$55</definedName>
    <definedName name="_xlnm.Print_Area" localSheetId="53">'53'!$A$1:$F$7</definedName>
    <definedName name="_xlnm.Print_Area" localSheetId="54">'54'!$A$1:$F$14</definedName>
    <definedName name="_xlnm.Print_Area" localSheetId="55">'55'!$A$1:$AC$12</definedName>
    <definedName name="_xlnm.Print_Area" localSheetId="58">'58'!$A$1:$N$89</definedName>
    <definedName name="_xlnm.Print_Area" localSheetId="64">'64'!$A$1:$L$18</definedName>
    <definedName name="_xlnm.Print_Area" localSheetId="65">'65'!$A$1:$F$17</definedName>
    <definedName name="_xlnm.Print_Area" localSheetId="66">'66'!$A$1:$T$37</definedName>
    <definedName name="_xlnm.Print_Area" localSheetId="67">'67'!$A$1:$T$20</definedName>
    <definedName name="_xlnm.Print_Area" localSheetId="68">'68'!$A$1:$N$37</definedName>
    <definedName name="_xlnm.Print_Area" localSheetId="69">'69'!$A$1:$N$33</definedName>
    <definedName name="_xlnm.Print_Area" localSheetId="7">'7'!$A$1:$K$66</definedName>
    <definedName name="_xlnm.Print_Area" localSheetId="70">'70'!$A$1:$H$53</definedName>
    <definedName name="_xlnm.Print_Area" localSheetId="74">'74'!$A$1:$C$44</definedName>
    <definedName name="_xlnm.Print_Area" localSheetId="8">'8'!$A$1:$Q$22</definedName>
    <definedName name="_xlnm.Print_Area" localSheetId="9">'9'!$A$1:$O$21</definedName>
    <definedName name="rDate">[2]Raw!$C$2</definedName>
    <definedName name="sDate">[3]Raw!$C$2</definedName>
    <definedName name="SpreadsheetBuilder_1" hidden="1">'[4]PE &amp;VOL'!$A$1:$Q$7</definedName>
    <definedName name="SpreadsheetBuilder_2" hidden="1">'[5]PE &amp;VOL'!$A$1:$Q$7</definedName>
    <definedName name="TRNR_6531c5328a1948209f1e3286516358c5_1_0" hidden="1">#REF!</definedName>
    <definedName name="TRNR_66fc5e9b2a8143859bb0bf5a6edf55aa_9_0" hidden="1">#REF!</definedName>
    <definedName name="TRNR_70d05a7930e64010b93feb78615fc9a1_1_0" hidden="1">#REF!</definedName>
    <definedName name="TRNR_7703dcd31ba94dc3b5f94a2b004d0246_1_0" hidden="1">#REF!</definedName>
    <definedName name="TRNR_78d1153e1e7347b9ae17b308bc65aca5_1_0" hidden="1">#REF!</definedName>
    <definedName name="TRNR_82966002c5ea4543be04a1398f142f6c_9_0" hidden="1">#REF!</definedName>
    <definedName name="TRNR_8a2c585f2f8c4acd9d5a4d6a1c6ffda3_1_0" hidden="1">#REF!</definedName>
    <definedName name="TRNR_a77c790d917545999f3fd7ce3ef195b4_1_0" hidden="1">#REF!</definedName>
    <definedName name="TRNR_a788a290182e4000a95044e270ad5579_1_0" hidden="1">#REF!</definedName>
    <definedName name="TRNR_d66104a0ac794f7b8f3127e9f50ab578_9_0" hidden="1">#REF!</definedName>
    <definedName name="TRNR_dbbfc746b1744da1ba06fa62b4f510ec_1_0" hidden="1">#REF!</definedName>
    <definedName name="TRNR_dc51d34d3bb44ebe85294c9ecab50790_9_0" hidden="1">#REF!</definedName>
    <definedName name="TRNR_ddba629b237349b68875a21ec04fd3c1_2_0" hidden="1">#REF!</definedName>
    <definedName name="XX" hidden="1">#REF!</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I10" i="14" l="1"/>
  <c r="H10" i="14"/>
  <c r="J10" i="13"/>
  <c r="A20" i="140" l="1"/>
  <c r="A29" i="146" l="1"/>
  <c r="F38" i="17" l="1"/>
  <c r="C38" i="17" l="1"/>
  <c r="D38" i="17"/>
  <c r="E38" i="17"/>
  <c r="A17" i="183" l="1"/>
  <c r="A63" i="196" l="1"/>
  <c r="A38" i="195"/>
  <c r="A39" i="194"/>
  <c r="A19" i="193"/>
  <c r="A38" i="192"/>
  <c r="A18" i="191"/>
  <c r="A18" i="180"/>
  <c r="A18" i="188"/>
  <c r="A18" i="186"/>
  <c r="A18" i="184"/>
  <c r="A17" i="182"/>
  <c r="A18" i="178"/>
  <c r="A19" i="177"/>
  <c r="A18" i="176"/>
  <c r="A18" i="175"/>
  <c r="A18" i="174"/>
  <c r="A18" i="173"/>
  <c r="A18" i="172"/>
  <c r="A18" i="171"/>
  <c r="A19" i="170"/>
  <c r="A19" i="169"/>
  <c r="A19" i="168"/>
  <c r="A19" i="167"/>
  <c r="A18" i="166"/>
  <c r="A18" i="165"/>
  <c r="A18" i="164"/>
  <c r="A18" i="163"/>
  <c r="A19" i="162"/>
  <c r="A21" i="161"/>
  <c r="A21" i="160"/>
  <c r="A17" i="158"/>
  <c r="A17" i="157"/>
  <c r="A34" i="156"/>
  <c r="A17" i="155"/>
  <c r="A18" i="154"/>
  <c r="A18" i="153"/>
  <c r="A18" i="149"/>
  <c r="A18" i="148"/>
  <c r="A18" i="147"/>
  <c r="A18" i="145"/>
  <c r="A18" i="144"/>
  <c r="A19" i="141"/>
  <c r="A18" i="14"/>
  <c r="A18" i="13"/>
  <c r="A18" i="12"/>
  <c r="D2" i="142"/>
  <c r="A6" i="142" s="1"/>
  <c r="A58" i="199"/>
  <c r="G34" i="199"/>
  <c r="F34" i="199"/>
  <c r="G32" i="199"/>
  <c r="F32" i="199"/>
  <c r="G29" i="199"/>
  <c r="G35" i="199" s="1"/>
  <c r="F29" i="199"/>
  <c r="F35" i="199" s="1"/>
  <c r="G23" i="199"/>
  <c r="F23" i="199"/>
  <c r="G20" i="199"/>
  <c r="F20" i="199"/>
  <c r="G15" i="199"/>
  <c r="F15" i="199"/>
  <c r="G9" i="199"/>
  <c r="F9" i="199"/>
  <c r="A50" i="198"/>
  <c r="O49" i="198"/>
  <c r="A50" i="197"/>
  <c r="J48" i="197"/>
  <c r="I48" i="197"/>
  <c r="G48" i="197"/>
  <c r="F48" i="197"/>
  <c r="H47" i="197"/>
  <c r="E47" i="197"/>
  <c r="H46" i="197"/>
  <c r="E46" i="197"/>
  <c r="H45" i="197"/>
  <c r="E45" i="197"/>
  <c r="H44" i="197"/>
  <c r="E44" i="197"/>
  <c r="J43" i="197"/>
  <c r="I43" i="197"/>
  <c r="G43" i="197"/>
  <c r="F43" i="197"/>
  <c r="H42" i="197"/>
  <c r="E42" i="197"/>
  <c r="H41" i="197"/>
  <c r="E41" i="197"/>
  <c r="H40" i="197"/>
  <c r="H43" i="197" s="1"/>
  <c r="E40" i="197"/>
  <c r="E43" i="197" s="1"/>
  <c r="J39" i="197"/>
  <c r="I39" i="197"/>
  <c r="G39" i="197"/>
  <c r="G49" i="197" s="1"/>
  <c r="F39" i="197"/>
  <c r="F49" i="197" s="1"/>
  <c r="H38" i="197"/>
  <c r="E38" i="197"/>
  <c r="H37" i="197"/>
  <c r="E37" i="197"/>
  <c r="H36" i="197"/>
  <c r="H39" i="197" s="1"/>
  <c r="E36" i="197"/>
  <c r="E39" i="197" s="1"/>
  <c r="H35" i="197"/>
  <c r="E35" i="197"/>
  <c r="J33" i="197"/>
  <c r="I33" i="197"/>
  <c r="G33" i="197"/>
  <c r="F33" i="197"/>
  <c r="H32" i="197"/>
  <c r="E32" i="197"/>
  <c r="H31" i="197"/>
  <c r="H33" i="197" s="1"/>
  <c r="E31" i="197"/>
  <c r="E33" i="197" s="1"/>
  <c r="J30" i="197"/>
  <c r="I30" i="197"/>
  <c r="G30" i="197"/>
  <c r="F30" i="197"/>
  <c r="H29" i="197"/>
  <c r="E29" i="197"/>
  <c r="H28" i="197"/>
  <c r="E28" i="197"/>
  <c r="H27" i="197"/>
  <c r="E27" i="197"/>
  <c r="H26" i="197"/>
  <c r="E26" i="197"/>
  <c r="J25" i="197"/>
  <c r="I25" i="197"/>
  <c r="G25" i="197"/>
  <c r="F25" i="197"/>
  <c r="H24" i="197"/>
  <c r="E24" i="197"/>
  <c r="H23" i="197"/>
  <c r="E23" i="197"/>
  <c r="H22" i="197"/>
  <c r="E22" i="197"/>
  <c r="E25" i="197" s="1"/>
  <c r="J21" i="197"/>
  <c r="I21" i="197"/>
  <c r="G21" i="197"/>
  <c r="F21" i="197"/>
  <c r="H20" i="197"/>
  <c r="E20" i="197"/>
  <c r="H19" i="197"/>
  <c r="E19" i="197"/>
  <c r="H18" i="197"/>
  <c r="E18" i="197"/>
  <c r="H17" i="197"/>
  <c r="E17" i="197"/>
  <c r="H16" i="197"/>
  <c r="E16" i="197"/>
  <c r="H15" i="197"/>
  <c r="E15" i="197"/>
  <c r="H14" i="197"/>
  <c r="E14" i="197"/>
  <c r="H13" i="197"/>
  <c r="E13" i="197"/>
  <c r="H12" i="197"/>
  <c r="E12" i="197"/>
  <c r="J11" i="197"/>
  <c r="J34" i="197" s="1"/>
  <c r="I11" i="197"/>
  <c r="I34" i="197" s="1"/>
  <c r="H11" i="197"/>
  <c r="G11" i="197"/>
  <c r="G34" i="197" s="1"/>
  <c r="F11" i="197"/>
  <c r="H10" i="197"/>
  <c r="E10" i="197"/>
  <c r="H9" i="197"/>
  <c r="E9" i="197"/>
  <c r="H8" i="197"/>
  <c r="E8" i="197"/>
  <c r="H7" i="197"/>
  <c r="E7" i="197"/>
  <c r="H6" i="197"/>
  <c r="E6" i="197"/>
  <c r="H5" i="197"/>
  <c r="E5" i="197"/>
  <c r="H4" i="197"/>
  <c r="E4" i="197"/>
  <c r="E11" i="197" s="1"/>
  <c r="N25" i="195"/>
  <c r="M25" i="195"/>
  <c r="L25" i="195"/>
  <c r="K25" i="195"/>
  <c r="J25" i="195"/>
  <c r="I25" i="195"/>
  <c r="H25" i="195"/>
  <c r="G25" i="195"/>
  <c r="F25" i="195"/>
  <c r="E25" i="195"/>
  <c r="D25" i="195"/>
  <c r="C25" i="195"/>
  <c r="B25" i="195"/>
  <c r="N6" i="195"/>
  <c r="M6" i="195"/>
  <c r="L6" i="195"/>
  <c r="K6" i="195"/>
  <c r="J6" i="195"/>
  <c r="I6" i="195"/>
  <c r="H6" i="195"/>
  <c r="G6" i="195"/>
  <c r="F6" i="195"/>
  <c r="E6" i="195"/>
  <c r="D6" i="195"/>
  <c r="C6" i="195"/>
  <c r="B6" i="195"/>
  <c r="L31" i="194"/>
  <c r="L30" i="194"/>
  <c r="L29" i="194"/>
  <c r="K29" i="194"/>
  <c r="L28" i="194"/>
  <c r="K28" i="194"/>
  <c r="L27" i="194"/>
  <c r="K27" i="194"/>
  <c r="N26" i="194"/>
  <c r="M26" i="194"/>
  <c r="K26" i="194"/>
  <c r="J26" i="194"/>
  <c r="I26" i="194"/>
  <c r="H26" i="194"/>
  <c r="G26" i="194"/>
  <c r="F26" i="194"/>
  <c r="E26" i="194"/>
  <c r="D26" i="194"/>
  <c r="C26" i="194"/>
  <c r="B26" i="194"/>
  <c r="L9" i="194"/>
  <c r="K9" i="194"/>
  <c r="L8" i="194"/>
  <c r="K8" i="194"/>
  <c r="L7" i="194"/>
  <c r="K7" i="194"/>
  <c r="N6" i="194"/>
  <c r="M6" i="194"/>
  <c r="K6" i="194"/>
  <c r="J6" i="194"/>
  <c r="I6" i="194"/>
  <c r="H6" i="194"/>
  <c r="G6" i="194"/>
  <c r="F6" i="194"/>
  <c r="E6" i="194"/>
  <c r="D6" i="194"/>
  <c r="C6" i="194"/>
  <c r="B6" i="194"/>
  <c r="R9" i="193"/>
  <c r="Q9" i="193"/>
  <c r="J9" i="193"/>
  <c r="I9" i="193"/>
  <c r="R8" i="193"/>
  <c r="Q8" i="193"/>
  <c r="J8" i="193"/>
  <c r="I8" i="193"/>
  <c r="R7" i="193"/>
  <c r="Q7" i="193"/>
  <c r="J7" i="193"/>
  <c r="J6" i="193" s="1"/>
  <c r="I7" i="193"/>
  <c r="I6" i="193" s="1"/>
  <c r="R6" i="193"/>
  <c r="Q6" i="193"/>
  <c r="P6" i="193"/>
  <c r="O6" i="193"/>
  <c r="N6" i="193"/>
  <c r="M6" i="193"/>
  <c r="L6" i="193"/>
  <c r="K6" i="193"/>
  <c r="H6" i="193"/>
  <c r="G6" i="193"/>
  <c r="F6" i="193"/>
  <c r="E6" i="193"/>
  <c r="D6" i="193"/>
  <c r="C6" i="193"/>
  <c r="B6" i="193"/>
  <c r="P28" i="192"/>
  <c r="O28" i="192"/>
  <c r="P27" i="192"/>
  <c r="O27" i="192"/>
  <c r="P26" i="192"/>
  <c r="P25" i="192" s="1"/>
  <c r="O26" i="192"/>
  <c r="R25" i="192"/>
  <c r="Q25" i="192"/>
  <c r="N25" i="192"/>
  <c r="M25" i="192"/>
  <c r="L25" i="192"/>
  <c r="K25" i="192"/>
  <c r="J25" i="192"/>
  <c r="I25" i="192"/>
  <c r="H25" i="192"/>
  <c r="G25" i="192"/>
  <c r="F25" i="192"/>
  <c r="E25" i="192"/>
  <c r="D25" i="192"/>
  <c r="C25" i="192"/>
  <c r="B25" i="192"/>
  <c r="R9" i="192"/>
  <c r="Q9" i="192"/>
  <c r="R8" i="192"/>
  <c r="Q8" i="192"/>
  <c r="R7" i="192"/>
  <c r="R6" i="192" s="1"/>
  <c r="Q7" i="192"/>
  <c r="Q6" i="192" s="1"/>
  <c r="T6" i="192"/>
  <c r="S6" i="192"/>
  <c r="P6" i="192"/>
  <c r="O6" i="192"/>
  <c r="N6" i="192"/>
  <c r="M6" i="192"/>
  <c r="L6" i="192"/>
  <c r="K6" i="192"/>
  <c r="J6" i="192"/>
  <c r="I6" i="192"/>
  <c r="H6" i="192"/>
  <c r="G6" i="192"/>
  <c r="F6" i="192"/>
  <c r="E6" i="192"/>
  <c r="D6" i="192"/>
  <c r="C6" i="192"/>
  <c r="B6" i="192"/>
  <c r="E5" i="191"/>
  <c r="D5" i="191"/>
  <c r="C5" i="191"/>
  <c r="B5" i="191"/>
  <c r="J10" i="188"/>
  <c r="I10" i="188"/>
  <c r="I5" i="188" s="1"/>
  <c r="H10" i="188"/>
  <c r="H5" i="188" s="1"/>
  <c r="J9" i="188"/>
  <c r="I9" i="188"/>
  <c r="H9" i="188"/>
  <c r="J8" i="188"/>
  <c r="I8" i="188"/>
  <c r="H8" i="188"/>
  <c r="J7" i="188"/>
  <c r="I7" i="188"/>
  <c r="H7" i="188"/>
  <c r="I6" i="188"/>
  <c r="H6" i="188"/>
  <c r="G6" i="188"/>
  <c r="G5" i="188" s="1"/>
  <c r="D6" i="188"/>
  <c r="D5" i="188" s="1"/>
  <c r="F5" i="188"/>
  <c r="E5" i="188"/>
  <c r="C5" i="188"/>
  <c r="B5" i="188"/>
  <c r="J6" i="186"/>
  <c r="J5" i="186" s="1"/>
  <c r="G6" i="186"/>
  <c r="G5" i="186" s="1"/>
  <c r="D6" i="186"/>
  <c r="K5" i="186"/>
  <c r="I5" i="186"/>
  <c r="H5" i="186"/>
  <c r="F5" i="186"/>
  <c r="E5" i="186"/>
  <c r="D5" i="186"/>
  <c r="C5" i="186"/>
  <c r="B5" i="186"/>
  <c r="I12" i="185"/>
  <c r="H12" i="185"/>
  <c r="G12" i="185"/>
  <c r="F12" i="185"/>
  <c r="E12" i="185"/>
  <c r="D12" i="185"/>
  <c r="C12" i="185"/>
  <c r="B12" i="185"/>
  <c r="AC8" i="184"/>
  <c r="AC5" i="184" s="1"/>
  <c r="AB8" i="184"/>
  <c r="AB5" i="184" s="1"/>
  <c r="AA5" i="184"/>
  <c r="Z5" i="184"/>
  <c r="Y5" i="184"/>
  <c r="X5" i="184"/>
  <c r="W5" i="184"/>
  <c r="V5" i="184"/>
  <c r="U5" i="184"/>
  <c r="T5" i="184"/>
  <c r="S5" i="184"/>
  <c r="R5" i="184"/>
  <c r="Q5" i="184"/>
  <c r="P5" i="184"/>
  <c r="O5" i="184"/>
  <c r="N5" i="184"/>
  <c r="M5" i="184"/>
  <c r="L5" i="184"/>
  <c r="K5" i="184"/>
  <c r="J5" i="184"/>
  <c r="I5" i="184"/>
  <c r="H5" i="184"/>
  <c r="G5" i="184"/>
  <c r="F5" i="184"/>
  <c r="E5" i="184"/>
  <c r="D5" i="184"/>
  <c r="C5" i="184"/>
  <c r="B5" i="184"/>
  <c r="F8" i="183"/>
  <c r="E8" i="183"/>
  <c r="F7" i="183"/>
  <c r="E7" i="183"/>
  <c r="F6" i="183"/>
  <c r="E6" i="183"/>
  <c r="F5" i="183"/>
  <c r="E5" i="183"/>
  <c r="D4" i="183"/>
  <c r="C4" i="183"/>
  <c r="B4" i="183"/>
  <c r="F5" i="182"/>
  <c r="F6" i="182" s="1"/>
  <c r="F7" i="182" s="1"/>
  <c r="F8" i="182" s="1"/>
  <c r="F9" i="182" s="1"/>
  <c r="E4" i="182"/>
  <c r="F4" i="182" s="1"/>
  <c r="D4" i="182"/>
  <c r="C4" i="182"/>
  <c r="B4" i="182"/>
  <c r="I49" i="197" l="1"/>
  <c r="E30" i="197"/>
  <c r="F24" i="199"/>
  <c r="E48" i="197"/>
  <c r="G24" i="199"/>
  <c r="L26" i="194"/>
  <c r="H30" i="197"/>
  <c r="H21" i="197"/>
  <c r="H48" i="197"/>
  <c r="H49" i="197" s="1"/>
  <c r="H25" i="197"/>
  <c r="J49" i="197"/>
  <c r="E21" i="197"/>
  <c r="F34" i="197"/>
  <c r="L6" i="194"/>
  <c r="O25" i="192"/>
  <c r="F4" i="183"/>
  <c r="E4" i="183"/>
  <c r="E34" i="197"/>
  <c r="E49" i="197"/>
  <c r="H34" i="197"/>
  <c r="J6" i="188"/>
  <c r="J5" i="188" s="1"/>
  <c r="A18" i="143" l="1"/>
  <c r="K5" i="180" l="1"/>
  <c r="J5" i="180"/>
  <c r="I5" i="180"/>
  <c r="H5" i="180"/>
  <c r="G5" i="180"/>
  <c r="F5" i="180"/>
  <c r="E5" i="180"/>
  <c r="D5" i="180"/>
  <c r="C5" i="180"/>
  <c r="B5" i="180"/>
  <c r="G5" i="178"/>
  <c r="F5" i="178"/>
  <c r="E5" i="178"/>
  <c r="D5" i="178"/>
  <c r="C5" i="178"/>
  <c r="B5" i="178"/>
  <c r="J6" i="177"/>
  <c r="I6" i="177"/>
  <c r="H6" i="177"/>
  <c r="G6" i="177"/>
  <c r="F6" i="177"/>
  <c r="E6" i="177"/>
  <c r="D6" i="177"/>
  <c r="C6" i="177"/>
  <c r="B6" i="177"/>
  <c r="K5" i="176"/>
  <c r="J5" i="176"/>
  <c r="I5" i="176"/>
  <c r="H5" i="176"/>
  <c r="G5" i="176"/>
  <c r="F5" i="176"/>
  <c r="E5" i="176"/>
  <c r="D5" i="176"/>
  <c r="C5" i="176"/>
  <c r="B5" i="176"/>
  <c r="K5" i="175"/>
  <c r="J5" i="175"/>
  <c r="I5" i="175"/>
  <c r="H5" i="175"/>
  <c r="G5" i="175"/>
  <c r="F5" i="175"/>
  <c r="E5" i="175"/>
  <c r="D5" i="175"/>
  <c r="C5" i="175"/>
  <c r="B5" i="175"/>
  <c r="K5" i="174"/>
  <c r="J5" i="174"/>
  <c r="I5" i="174"/>
  <c r="H5" i="174"/>
  <c r="G5" i="174"/>
  <c r="F5" i="174"/>
  <c r="E5" i="174"/>
  <c r="D5" i="174"/>
  <c r="C5" i="174"/>
  <c r="B5" i="174"/>
  <c r="I5" i="173"/>
  <c r="H5" i="173"/>
  <c r="G5" i="173"/>
  <c r="F5" i="173"/>
  <c r="E5" i="173"/>
  <c r="D5" i="173"/>
  <c r="C5" i="173"/>
  <c r="B5" i="173"/>
  <c r="O5" i="172"/>
  <c r="N5" i="172"/>
  <c r="M5" i="172"/>
  <c r="L5" i="172"/>
  <c r="K5" i="172"/>
  <c r="J5" i="172"/>
  <c r="I5" i="172"/>
  <c r="H5" i="172"/>
  <c r="G5" i="172"/>
  <c r="F5" i="172"/>
  <c r="E5" i="172"/>
  <c r="D5" i="172"/>
  <c r="C5" i="172"/>
  <c r="B5" i="172"/>
  <c r="O5" i="171"/>
  <c r="N5" i="171"/>
  <c r="M5" i="171"/>
  <c r="L5" i="171"/>
  <c r="K5" i="171"/>
  <c r="J5" i="171"/>
  <c r="I5" i="171"/>
  <c r="H5" i="171"/>
  <c r="G5" i="171"/>
  <c r="F5" i="171"/>
  <c r="E5" i="171"/>
  <c r="D5" i="171"/>
  <c r="C5" i="171"/>
  <c r="B5" i="171"/>
  <c r="K6" i="170"/>
  <c r="J6" i="170"/>
  <c r="I6" i="170"/>
  <c r="H6" i="170"/>
  <c r="G6" i="170"/>
  <c r="F6" i="170"/>
  <c r="E6" i="170"/>
  <c r="D6" i="170"/>
  <c r="C6" i="170"/>
  <c r="B6" i="170"/>
  <c r="L6" i="169"/>
  <c r="K6" i="169"/>
  <c r="J6" i="169"/>
  <c r="I6" i="169"/>
  <c r="H6" i="169"/>
  <c r="G6" i="169"/>
  <c r="F6" i="169"/>
  <c r="E6" i="169"/>
  <c r="D6" i="169"/>
  <c r="C6" i="169"/>
  <c r="B6" i="169"/>
  <c r="L6" i="168"/>
  <c r="K6" i="168"/>
  <c r="J6" i="168"/>
  <c r="I6" i="168"/>
  <c r="H6" i="168"/>
  <c r="G6" i="168"/>
  <c r="F6" i="168"/>
  <c r="E6" i="168"/>
  <c r="D6" i="168"/>
  <c r="C6" i="168"/>
  <c r="B6" i="168"/>
  <c r="L6" i="167"/>
  <c r="K6" i="167"/>
  <c r="J6" i="167"/>
  <c r="I6" i="167"/>
  <c r="H6" i="167"/>
  <c r="G6" i="167"/>
  <c r="F6" i="167"/>
  <c r="E6" i="167"/>
  <c r="D6" i="167"/>
  <c r="C6" i="167"/>
  <c r="B6" i="167"/>
  <c r="K5" i="164"/>
  <c r="J5" i="164"/>
  <c r="I5" i="164"/>
  <c r="H5" i="164"/>
  <c r="G5" i="164"/>
  <c r="K5" i="163"/>
  <c r="J5" i="163"/>
  <c r="I5" i="163"/>
  <c r="H5" i="163"/>
  <c r="G5" i="163"/>
  <c r="H6" i="162"/>
  <c r="G6" i="162"/>
  <c r="F6" i="162"/>
  <c r="E6" i="162"/>
  <c r="C6" i="162"/>
  <c r="B6" i="162"/>
  <c r="W8" i="161"/>
  <c r="V8" i="161"/>
  <c r="U8" i="161"/>
  <c r="T8" i="161"/>
  <c r="S8" i="161"/>
  <c r="R8" i="161"/>
  <c r="Q8" i="161"/>
  <c r="P8" i="161"/>
  <c r="O8" i="161"/>
  <c r="N8" i="161"/>
  <c r="M8" i="161"/>
  <c r="L8" i="161"/>
  <c r="K8" i="161"/>
  <c r="J8" i="161"/>
  <c r="I8" i="161"/>
  <c r="H8" i="161"/>
  <c r="G8" i="161"/>
  <c r="F8" i="161"/>
  <c r="E8" i="161"/>
  <c r="D8" i="161"/>
  <c r="C8" i="161"/>
  <c r="B8" i="161"/>
  <c r="W8" i="160"/>
  <c r="V8" i="160"/>
  <c r="U8" i="160"/>
  <c r="T8" i="160"/>
  <c r="S8" i="160"/>
  <c r="R8" i="160"/>
  <c r="Q8" i="160"/>
  <c r="P8" i="160"/>
  <c r="O8" i="160"/>
  <c r="N8" i="160"/>
  <c r="M8" i="160"/>
  <c r="L8" i="160"/>
  <c r="K8" i="160"/>
  <c r="J8" i="160"/>
  <c r="I8" i="160"/>
  <c r="H8" i="160"/>
  <c r="G8" i="160"/>
  <c r="F8" i="160"/>
  <c r="E8" i="160"/>
  <c r="D8" i="160"/>
  <c r="C8" i="160"/>
  <c r="B8" i="160"/>
  <c r="A6" i="160"/>
  <c r="B6" i="160" s="1"/>
  <c r="C6" i="160" s="1"/>
  <c r="D6" i="160" s="1"/>
  <c r="E6" i="160" s="1"/>
  <c r="F6" i="160" s="1"/>
  <c r="G6" i="160" s="1"/>
  <c r="H6" i="160" s="1"/>
  <c r="I6" i="160" s="1"/>
  <c r="J6" i="160" s="1"/>
  <c r="K6" i="160" s="1"/>
  <c r="L6" i="160" s="1"/>
  <c r="M6" i="160" s="1"/>
  <c r="N6" i="160" s="1"/>
  <c r="O6" i="160" s="1"/>
  <c r="P6" i="160" s="1"/>
  <c r="Q6" i="160" s="1"/>
  <c r="R6" i="160" s="1"/>
  <c r="S6" i="160" s="1"/>
  <c r="T6" i="160" s="1"/>
  <c r="U6" i="160" s="1"/>
  <c r="V6" i="160" s="1"/>
  <c r="W6" i="160" s="1"/>
  <c r="Q4" i="158"/>
  <c r="P4" i="158"/>
  <c r="O4" i="158"/>
  <c r="M4" i="158"/>
  <c r="N4" i="158" s="1"/>
  <c r="K4" i="158"/>
  <c r="L4" i="158" s="1"/>
  <c r="I4" i="158"/>
  <c r="H4" i="158"/>
  <c r="G4" i="158"/>
  <c r="F4" i="158"/>
  <c r="D4" i="158"/>
  <c r="C4" i="158"/>
  <c r="B4" i="158"/>
  <c r="Q4" i="157"/>
  <c r="P4" i="157"/>
  <c r="O4" i="157"/>
  <c r="M4" i="157"/>
  <c r="N4" i="157" s="1"/>
  <c r="K4" i="157"/>
  <c r="I4" i="157"/>
  <c r="G4" i="157"/>
  <c r="F4" i="157"/>
  <c r="D4" i="157"/>
  <c r="E4" i="157" s="1"/>
  <c r="C4" i="157"/>
  <c r="B4" i="157"/>
  <c r="H9" i="155"/>
  <c r="G10" i="154"/>
  <c r="D10" i="154"/>
  <c r="G9" i="154"/>
  <c r="D9" i="154"/>
  <c r="G8" i="154"/>
  <c r="D8" i="154"/>
  <c r="G7" i="154"/>
  <c r="D7" i="154"/>
  <c r="G6" i="154"/>
  <c r="D6" i="154"/>
  <c r="H5" i="154"/>
  <c r="J5" i="154" s="1"/>
  <c r="E5" i="154"/>
  <c r="G5" i="154" s="1"/>
  <c r="B5" i="154"/>
  <c r="D5" i="154" s="1"/>
  <c r="J5" i="153"/>
  <c r="G5" i="153"/>
  <c r="D5" i="153"/>
  <c r="F26" i="146"/>
  <c r="E26" i="146"/>
  <c r="P5" i="145"/>
  <c r="O5" i="145"/>
  <c r="N5" i="145"/>
  <c r="M5" i="145"/>
  <c r="H5" i="145"/>
  <c r="G5" i="145"/>
  <c r="F5" i="145"/>
  <c r="J5" i="145" s="1"/>
  <c r="E5" i="145"/>
  <c r="I5" i="145" s="1"/>
  <c r="C4" i="142" s="1"/>
  <c r="C5" i="145"/>
  <c r="B5" i="145"/>
  <c r="P5" i="144"/>
  <c r="O5" i="144"/>
  <c r="N5" i="144"/>
  <c r="M5" i="144"/>
  <c r="L5" i="144"/>
  <c r="K5" i="144"/>
  <c r="H5" i="144"/>
  <c r="G5" i="144"/>
  <c r="F5" i="144"/>
  <c r="E5" i="144"/>
  <c r="C5" i="144"/>
  <c r="B5" i="144"/>
  <c r="J8" i="143"/>
  <c r="I8" i="143"/>
  <c r="P5" i="143"/>
  <c r="O5" i="143"/>
  <c r="N5" i="143"/>
  <c r="M5" i="143"/>
  <c r="L5" i="143"/>
  <c r="K5" i="143"/>
  <c r="H5" i="143"/>
  <c r="G5" i="143"/>
  <c r="F5" i="143"/>
  <c r="E5" i="143"/>
  <c r="C5" i="143"/>
  <c r="B5" i="143"/>
  <c r="D5" i="142"/>
  <c r="B5" i="142"/>
  <c r="D4" i="142"/>
  <c r="B4" i="142"/>
  <c r="D3" i="142"/>
  <c r="B3" i="142"/>
  <c r="Q6" i="141"/>
  <c r="P6" i="141"/>
  <c r="O6" i="141"/>
  <c r="N6" i="141"/>
  <c r="M6" i="141"/>
  <c r="L6" i="141"/>
  <c r="K6" i="141"/>
  <c r="J6" i="141"/>
  <c r="I6" i="141"/>
  <c r="H6" i="141"/>
  <c r="G6" i="141"/>
  <c r="F6" i="141"/>
  <c r="E6" i="141"/>
  <c r="D6" i="141"/>
  <c r="C6" i="141"/>
  <c r="B6" i="141"/>
  <c r="H4" i="157" l="1"/>
  <c r="J5" i="144"/>
  <c r="E4" i="158"/>
  <c r="J4" i="157"/>
  <c r="L4" i="157"/>
  <c r="J4" i="158"/>
  <c r="I5" i="143"/>
  <c r="C3" i="142" s="1"/>
  <c r="J5" i="143"/>
  <c r="I5" i="144"/>
  <c r="C5" i="142" s="1"/>
  <c r="B7" i="140" l="1"/>
  <c r="C7" i="140"/>
  <c r="D7" i="140"/>
  <c r="E7" i="140"/>
  <c r="F7" i="140"/>
  <c r="G7" i="140"/>
  <c r="H8" i="140"/>
  <c r="I8" i="140"/>
  <c r="H10" i="140"/>
  <c r="I10" i="140"/>
  <c r="H11" i="140"/>
  <c r="I11" i="140"/>
  <c r="H12" i="140"/>
  <c r="I12" i="140"/>
  <c r="H13" i="140"/>
  <c r="I13" i="140"/>
  <c r="H14" i="140"/>
  <c r="I14" i="140"/>
  <c r="H15" i="140"/>
  <c r="I15" i="140"/>
  <c r="H16" i="140"/>
  <c r="I16" i="140"/>
  <c r="H17" i="140"/>
  <c r="I17" i="140"/>
  <c r="H18" i="140"/>
  <c r="I18" i="140"/>
  <c r="H19" i="140"/>
  <c r="I19" i="140"/>
  <c r="I7" i="140" l="1"/>
  <c r="H7" i="140"/>
  <c r="N63" i="9"/>
  <c r="O63" i="9"/>
  <c r="P63" i="9"/>
  <c r="Q63" i="9"/>
  <c r="H10" i="8"/>
  <c r="I10" i="8"/>
  <c r="H11" i="8"/>
  <c r="I11" i="8"/>
  <c r="C11" i="8" s="1"/>
  <c r="F2" i="79" l="1"/>
  <c r="S27" i="79" l="1"/>
  <c r="R27" i="79"/>
  <c r="Q27" i="79"/>
  <c r="P27" i="79"/>
  <c r="G28" i="79"/>
  <c r="F28" i="79"/>
  <c r="BE49" i="79"/>
  <c r="BD49" i="79"/>
  <c r="BC49" i="79"/>
  <c r="BB49" i="79"/>
  <c r="BA49" i="79"/>
  <c r="AZ49" i="79"/>
  <c r="AY49" i="79"/>
  <c r="AX49" i="79"/>
  <c r="AW49" i="79"/>
  <c r="AV49" i="79"/>
  <c r="AU49" i="79"/>
  <c r="AT49" i="79"/>
  <c r="AS49" i="79"/>
  <c r="AR49" i="79"/>
  <c r="AQ49" i="79"/>
  <c r="AP49" i="79"/>
  <c r="AO49" i="79"/>
  <c r="AN49" i="79"/>
  <c r="AM49" i="79"/>
  <c r="AL49" i="79"/>
  <c r="AK49" i="79"/>
  <c r="AJ49" i="79"/>
  <c r="AI49" i="79"/>
  <c r="AH49" i="79"/>
  <c r="AG49" i="79"/>
  <c r="AF49" i="79"/>
  <c r="AE49" i="79"/>
  <c r="AD49" i="79"/>
  <c r="AC49" i="79"/>
  <c r="AB49" i="79"/>
  <c r="AA49" i="79"/>
  <c r="Z49" i="79"/>
  <c r="Y49" i="79"/>
  <c r="X49" i="79"/>
  <c r="W49" i="79"/>
  <c r="V49" i="79"/>
  <c r="U49" i="79"/>
  <c r="T49" i="79"/>
  <c r="S49" i="79"/>
  <c r="R49" i="79"/>
  <c r="Q49" i="79"/>
  <c r="P49" i="79"/>
  <c r="O49" i="79"/>
  <c r="N49" i="79"/>
  <c r="M49" i="79"/>
  <c r="L49" i="79"/>
  <c r="K49" i="79"/>
  <c r="J49" i="79"/>
  <c r="E49" i="79"/>
  <c r="D49" i="79"/>
  <c r="C49" i="79"/>
  <c r="B49" i="79"/>
  <c r="I48" i="79"/>
  <c r="I49" i="79" s="1"/>
  <c r="H48" i="79"/>
  <c r="H49" i="79" s="1"/>
  <c r="G48" i="79"/>
  <c r="F48" i="79"/>
  <c r="I47" i="79"/>
  <c r="H47" i="79"/>
  <c r="G47" i="79"/>
  <c r="F47" i="79"/>
  <c r="BE45" i="79"/>
  <c r="BD45" i="79"/>
  <c r="BC45" i="79"/>
  <c r="BB45" i="79"/>
  <c r="BA45" i="79"/>
  <c r="AZ45" i="79"/>
  <c r="AY45" i="79"/>
  <c r="AX45" i="79"/>
  <c r="AW45" i="79"/>
  <c r="AV45" i="79"/>
  <c r="AU45" i="79"/>
  <c r="AT45" i="79"/>
  <c r="AS45" i="79"/>
  <c r="AR45" i="79"/>
  <c r="AQ45" i="79"/>
  <c r="AP45" i="79"/>
  <c r="AO45" i="79"/>
  <c r="AN45" i="79"/>
  <c r="AM45" i="79"/>
  <c r="AL45" i="79"/>
  <c r="AK45" i="79"/>
  <c r="AJ45" i="79"/>
  <c r="AI45" i="79"/>
  <c r="AH45" i="79"/>
  <c r="AG45" i="79"/>
  <c r="AF45" i="79"/>
  <c r="AE45" i="79"/>
  <c r="AD45" i="79"/>
  <c r="AC45" i="79"/>
  <c r="AB45" i="79"/>
  <c r="AA45" i="79"/>
  <c r="Z45" i="79"/>
  <c r="Y45" i="79"/>
  <c r="X45" i="79"/>
  <c r="W45" i="79"/>
  <c r="V45" i="79"/>
  <c r="U45" i="79"/>
  <c r="T45" i="79"/>
  <c r="S45" i="79"/>
  <c r="R45" i="79"/>
  <c r="Q45" i="79"/>
  <c r="P45" i="79"/>
  <c r="O45" i="79"/>
  <c r="N45" i="79"/>
  <c r="M45" i="79"/>
  <c r="L45" i="79"/>
  <c r="K45" i="79"/>
  <c r="J45" i="79"/>
  <c r="I45" i="79"/>
  <c r="H45" i="79"/>
  <c r="G45" i="79"/>
  <c r="F45" i="79"/>
  <c r="E45" i="79"/>
  <c r="D45" i="79"/>
  <c r="C45" i="79"/>
  <c r="B45" i="79"/>
  <c r="I44" i="79"/>
  <c r="H44" i="79"/>
  <c r="G44" i="79"/>
  <c r="F44" i="79"/>
  <c r="I43" i="79"/>
  <c r="H43" i="79"/>
  <c r="G43" i="79"/>
  <c r="F43" i="79"/>
  <c r="I38" i="79"/>
  <c r="H38" i="79"/>
  <c r="G38" i="79"/>
  <c r="F38" i="79"/>
  <c r="I37" i="79"/>
  <c r="H37" i="79"/>
  <c r="G37" i="79"/>
  <c r="F37" i="79"/>
  <c r="BE36" i="79"/>
  <c r="BD36" i="79"/>
  <c r="BC36" i="79"/>
  <c r="BB36" i="79"/>
  <c r="BA36" i="79"/>
  <c r="AZ36" i="79"/>
  <c r="AY36" i="79"/>
  <c r="AX36" i="79"/>
  <c r="AW36" i="79"/>
  <c r="AV36" i="79"/>
  <c r="AU36" i="79"/>
  <c r="AT36" i="79"/>
  <c r="AS36" i="79"/>
  <c r="AR36" i="79"/>
  <c r="AQ36" i="79"/>
  <c r="AP36" i="79"/>
  <c r="AO36" i="79"/>
  <c r="AN36" i="79"/>
  <c r="AM36" i="79"/>
  <c r="AL36" i="79"/>
  <c r="AK36" i="79"/>
  <c r="AJ36" i="79"/>
  <c r="AI36" i="79"/>
  <c r="AH36" i="79"/>
  <c r="AG36" i="79"/>
  <c r="AF36" i="79"/>
  <c r="AE36" i="79"/>
  <c r="AD36" i="79"/>
  <c r="AC36" i="79"/>
  <c r="AB36" i="79"/>
  <c r="AA36" i="79"/>
  <c r="Z36" i="79"/>
  <c r="Y36" i="79"/>
  <c r="X36" i="79"/>
  <c r="W36" i="79"/>
  <c r="V36" i="79"/>
  <c r="U36" i="79"/>
  <c r="T36" i="79"/>
  <c r="S36" i="79"/>
  <c r="R36" i="79"/>
  <c r="Q36" i="79"/>
  <c r="P36" i="79"/>
  <c r="O36" i="79"/>
  <c r="N36" i="79"/>
  <c r="M36" i="79"/>
  <c r="L36" i="79"/>
  <c r="K36" i="79"/>
  <c r="J36" i="79"/>
  <c r="I35" i="79"/>
  <c r="H35" i="79"/>
  <c r="G35" i="79"/>
  <c r="F35" i="79"/>
  <c r="I34" i="79"/>
  <c r="H34" i="79"/>
  <c r="G34" i="79"/>
  <c r="F34" i="79"/>
  <c r="BE33" i="79"/>
  <c r="BD33" i="79"/>
  <c r="BC33" i="79"/>
  <c r="BB33" i="79"/>
  <c r="BA33" i="79"/>
  <c r="AZ33" i="79"/>
  <c r="AY33" i="79"/>
  <c r="AX33" i="79"/>
  <c r="AW33" i="79"/>
  <c r="AV33" i="79"/>
  <c r="AU33" i="79"/>
  <c r="AT33" i="79"/>
  <c r="AS33" i="79"/>
  <c r="AR33" i="79"/>
  <c r="AQ33" i="79"/>
  <c r="AP33" i="79"/>
  <c r="AO33" i="79"/>
  <c r="AN33" i="79"/>
  <c r="AM33" i="79"/>
  <c r="AL33" i="79"/>
  <c r="AK33" i="79"/>
  <c r="AJ33" i="79"/>
  <c r="AI33" i="79"/>
  <c r="AH33" i="79"/>
  <c r="AG33" i="79"/>
  <c r="AF33" i="79"/>
  <c r="AE33" i="79"/>
  <c r="AD33" i="79"/>
  <c r="AC33" i="79"/>
  <c r="AB33" i="79"/>
  <c r="AA33" i="79"/>
  <c r="Z33" i="79"/>
  <c r="Y33" i="79"/>
  <c r="X33" i="79"/>
  <c r="W33" i="79"/>
  <c r="V33" i="79"/>
  <c r="U33" i="79"/>
  <c r="T33" i="79"/>
  <c r="S33" i="79"/>
  <c r="R33" i="79"/>
  <c r="Q33" i="79"/>
  <c r="P33" i="79"/>
  <c r="O33" i="79"/>
  <c r="N33" i="79"/>
  <c r="M33" i="79"/>
  <c r="L33" i="79"/>
  <c r="K33" i="79"/>
  <c r="J33" i="79"/>
  <c r="I32" i="79"/>
  <c r="H32" i="79"/>
  <c r="G32" i="79"/>
  <c r="F32" i="79"/>
  <c r="I31" i="79"/>
  <c r="H31" i="79"/>
  <c r="G31" i="79"/>
  <c r="F31" i="79"/>
  <c r="BE30" i="79"/>
  <c r="BD30" i="79"/>
  <c r="BC30" i="79"/>
  <c r="BB30" i="79"/>
  <c r="BA30" i="79"/>
  <c r="AZ30" i="79"/>
  <c r="AY30" i="79"/>
  <c r="AX30" i="79"/>
  <c r="AW30" i="79"/>
  <c r="AV30" i="79"/>
  <c r="AU30" i="79"/>
  <c r="AT30" i="79"/>
  <c r="AS30" i="79"/>
  <c r="AR30" i="79"/>
  <c r="AQ30" i="79"/>
  <c r="AP30" i="79"/>
  <c r="AO30" i="79"/>
  <c r="AN30" i="79"/>
  <c r="AM30" i="79"/>
  <c r="AL30" i="79"/>
  <c r="AK30" i="79"/>
  <c r="AJ30" i="79"/>
  <c r="AI30" i="79"/>
  <c r="AH30" i="79"/>
  <c r="AG30" i="79"/>
  <c r="AF30" i="79"/>
  <c r="AE30" i="79"/>
  <c r="AD30" i="79"/>
  <c r="AC30" i="79"/>
  <c r="AB30" i="79"/>
  <c r="AA30" i="79"/>
  <c r="Z30" i="79"/>
  <c r="Y30" i="79"/>
  <c r="X30" i="79"/>
  <c r="W30" i="79"/>
  <c r="V30" i="79"/>
  <c r="U30" i="79"/>
  <c r="T30" i="79"/>
  <c r="S30" i="79"/>
  <c r="R30" i="79"/>
  <c r="Q30" i="79"/>
  <c r="P30" i="79"/>
  <c r="O30" i="79"/>
  <c r="N30" i="79"/>
  <c r="M30" i="79"/>
  <c r="L30" i="79"/>
  <c r="K30" i="79"/>
  <c r="J30" i="79"/>
  <c r="I29" i="79"/>
  <c r="H29" i="79"/>
  <c r="G29" i="79"/>
  <c r="F29" i="79"/>
  <c r="I28" i="79"/>
  <c r="H28" i="79"/>
  <c r="BE27" i="79"/>
  <c r="BD27" i="79"/>
  <c r="BC27" i="79"/>
  <c r="BB27" i="79"/>
  <c r="BA27" i="79"/>
  <c r="AZ27" i="79"/>
  <c r="AY27" i="79"/>
  <c r="AX27" i="79"/>
  <c r="AW27" i="79"/>
  <c r="AV27" i="79"/>
  <c r="AU27" i="79"/>
  <c r="AT27" i="79"/>
  <c r="AS27" i="79"/>
  <c r="AR27" i="79"/>
  <c r="AQ27" i="79"/>
  <c r="AP27" i="79"/>
  <c r="AO27" i="79"/>
  <c r="AN27" i="79"/>
  <c r="AM27" i="79"/>
  <c r="AL27" i="79"/>
  <c r="AK27" i="79"/>
  <c r="AJ27" i="79"/>
  <c r="AI27" i="79"/>
  <c r="AH27" i="79"/>
  <c r="AG27" i="79"/>
  <c r="AF27" i="79"/>
  <c r="AE27" i="79"/>
  <c r="AD27" i="79"/>
  <c r="AC27" i="79"/>
  <c r="AB27" i="79"/>
  <c r="AA27" i="79"/>
  <c r="Z27" i="79"/>
  <c r="Y27" i="79"/>
  <c r="X27" i="79"/>
  <c r="W27" i="79"/>
  <c r="V27" i="79"/>
  <c r="U27" i="79"/>
  <c r="T27" i="79"/>
  <c r="M27" i="79"/>
  <c r="L27" i="79"/>
  <c r="K27" i="79"/>
  <c r="J27" i="79"/>
  <c r="E26" i="79"/>
  <c r="E41" i="79" s="1"/>
  <c r="C26" i="79"/>
  <c r="C41" i="79" s="1"/>
  <c r="E25" i="79"/>
  <c r="E40" i="79" s="1"/>
  <c r="C25" i="79"/>
  <c r="C40" i="79" s="1"/>
  <c r="E24" i="79"/>
  <c r="E39" i="79" s="1"/>
  <c r="D24" i="79"/>
  <c r="D39" i="79" s="1"/>
  <c r="C24" i="79"/>
  <c r="C39" i="79" s="1"/>
  <c r="B24" i="79"/>
  <c r="B39" i="79" s="1"/>
  <c r="BE23" i="79"/>
  <c r="BD23" i="79"/>
  <c r="BC23" i="79"/>
  <c r="BB23" i="79"/>
  <c r="BA23" i="79"/>
  <c r="AZ23" i="79"/>
  <c r="AY23" i="79"/>
  <c r="AX23" i="79"/>
  <c r="AW23" i="79"/>
  <c r="AV23" i="79"/>
  <c r="AU23" i="79"/>
  <c r="AT23" i="79"/>
  <c r="AS23" i="79"/>
  <c r="AR23" i="79"/>
  <c r="AQ23" i="79"/>
  <c r="AP23" i="79"/>
  <c r="AO23" i="79"/>
  <c r="AN23" i="79"/>
  <c r="AM23" i="79"/>
  <c r="AL23" i="79"/>
  <c r="AK23" i="79"/>
  <c r="AJ23" i="79"/>
  <c r="AI23" i="79"/>
  <c r="AI26" i="79" s="1"/>
  <c r="AH23" i="79"/>
  <c r="AG23" i="79"/>
  <c r="AG26" i="79" s="1"/>
  <c r="AF23" i="79"/>
  <c r="AE23" i="79"/>
  <c r="AD23" i="79"/>
  <c r="AC23" i="79"/>
  <c r="AB23" i="79"/>
  <c r="AA23" i="79"/>
  <c r="Z23" i="79"/>
  <c r="Y23" i="79"/>
  <c r="X23" i="79"/>
  <c r="W23" i="79"/>
  <c r="V23" i="79"/>
  <c r="U23" i="79"/>
  <c r="T23" i="79"/>
  <c r="S23" i="79"/>
  <c r="R23" i="79"/>
  <c r="Q23" i="79"/>
  <c r="P23" i="79"/>
  <c r="O23" i="79"/>
  <c r="N23" i="79"/>
  <c r="M23" i="79"/>
  <c r="L23" i="79"/>
  <c r="K23" i="79"/>
  <c r="J23" i="79"/>
  <c r="BE22" i="79"/>
  <c r="BD22" i="79"/>
  <c r="BC22" i="79"/>
  <c r="BB22" i="79"/>
  <c r="BA22" i="79"/>
  <c r="AZ22" i="79"/>
  <c r="AY22" i="79"/>
  <c r="AX22" i="79"/>
  <c r="AW22" i="79"/>
  <c r="AW25" i="79" s="1"/>
  <c r="AW40" i="79" s="1"/>
  <c r="AV22" i="79"/>
  <c r="AU22" i="79"/>
  <c r="AT22" i="79"/>
  <c r="AS22" i="79"/>
  <c r="AR22" i="79"/>
  <c r="AQ22" i="79"/>
  <c r="AP22" i="79"/>
  <c r="AO22" i="79"/>
  <c r="AN22" i="79"/>
  <c r="AM22" i="79"/>
  <c r="AL22" i="79"/>
  <c r="AK22" i="79"/>
  <c r="AJ22" i="79"/>
  <c r="AI22" i="79"/>
  <c r="AH22" i="79"/>
  <c r="AG22" i="79"/>
  <c r="AF22" i="79"/>
  <c r="AE22" i="79"/>
  <c r="AD22" i="79"/>
  <c r="AC22" i="79"/>
  <c r="AB22" i="79"/>
  <c r="AA22" i="79"/>
  <c r="Z22" i="79"/>
  <c r="Y22" i="79"/>
  <c r="X22" i="79"/>
  <c r="W22" i="79"/>
  <c r="V22" i="79"/>
  <c r="U22" i="79"/>
  <c r="T22" i="79"/>
  <c r="S22" i="79"/>
  <c r="R22" i="79"/>
  <c r="Q22" i="79"/>
  <c r="P22" i="79"/>
  <c r="O22" i="79"/>
  <c r="N22" i="79"/>
  <c r="M22" i="79"/>
  <c r="L22" i="79"/>
  <c r="K22" i="79"/>
  <c r="J22" i="79"/>
  <c r="AW21" i="79"/>
  <c r="I20" i="79"/>
  <c r="H20" i="79"/>
  <c r="G20" i="79"/>
  <c r="F20" i="79"/>
  <c r="I19" i="79"/>
  <c r="H19" i="79"/>
  <c r="G19" i="79"/>
  <c r="F19" i="79"/>
  <c r="BE18" i="79"/>
  <c r="BD18" i="79"/>
  <c r="BC18" i="79"/>
  <c r="BB18" i="79"/>
  <c r="BB21" i="79" s="1"/>
  <c r="BA18" i="79"/>
  <c r="BA21" i="79" s="1"/>
  <c r="AZ18" i="79"/>
  <c r="AZ21" i="79" s="1"/>
  <c r="AY18" i="79"/>
  <c r="AY21" i="79" s="1"/>
  <c r="AX18" i="79"/>
  <c r="AX21" i="79" s="1"/>
  <c r="AW18" i="79"/>
  <c r="AV18" i="79"/>
  <c r="AV21" i="79" s="1"/>
  <c r="AU18" i="79"/>
  <c r="AU21" i="79" s="1"/>
  <c r="AT18" i="79"/>
  <c r="AT21" i="79" s="1"/>
  <c r="AS18" i="79"/>
  <c r="AR18" i="79"/>
  <c r="AQ18" i="79"/>
  <c r="AQ21" i="79" s="1"/>
  <c r="AP18" i="79"/>
  <c r="AO18" i="79"/>
  <c r="AO21" i="79" s="1"/>
  <c r="AN18" i="79"/>
  <c r="AN21" i="79" s="1"/>
  <c r="AM18" i="79"/>
  <c r="AM21" i="79" s="1"/>
  <c r="AM24" i="79" s="1"/>
  <c r="AL18" i="79"/>
  <c r="AK18" i="79"/>
  <c r="AJ18" i="79"/>
  <c r="AI18" i="79"/>
  <c r="AH18" i="79"/>
  <c r="AH21" i="79" s="1"/>
  <c r="AG18" i="79"/>
  <c r="AG21" i="79" s="1"/>
  <c r="AF18" i="79"/>
  <c r="AF21" i="79" s="1"/>
  <c r="AE18" i="79"/>
  <c r="AE21" i="79" s="1"/>
  <c r="AD18" i="79"/>
  <c r="AD21" i="79" s="1"/>
  <c r="AC18" i="79"/>
  <c r="AC21" i="79" s="1"/>
  <c r="AB18" i="79"/>
  <c r="AA18" i="79"/>
  <c r="AA21" i="79" s="1"/>
  <c r="Z18" i="79"/>
  <c r="Z21" i="79" s="1"/>
  <c r="Y18" i="79"/>
  <c r="X18" i="79"/>
  <c r="W18" i="79"/>
  <c r="V18" i="79"/>
  <c r="U18" i="79"/>
  <c r="T18" i="79"/>
  <c r="S18" i="79"/>
  <c r="S21" i="79" s="1"/>
  <c r="R18" i="79"/>
  <c r="Q18" i="79"/>
  <c r="P18" i="79"/>
  <c r="O18" i="79"/>
  <c r="N18" i="79"/>
  <c r="N21" i="79" s="1"/>
  <c r="M18" i="79"/>
  <c r="M21" i="79" s="1"/>
  <c r="L18" i="79"/>
  <c r="L21" i="79" s="1"/>
  <c r="K18" i="79"/>
  <c r="K21" i="79" s="1"/>
  <c r="J18" i="79"/>
  <c r="J21" i="79" s="1"/>
  <c r="I17" i="79"/>
  <c r="H17" i="79"/>
  <c r="G17" i="79"/>
  <c r="F17" i="79"/>
  <c r="I16" i="79"/>
  <c r="H16" i="79"/>
  <c r="G16" i="79"/>
  <c r="F16" i="79"/>
  <c r="BE15" i="79"/>
  <c r="BD15" i="79"/>
  <c r="BC15" i="79"/>
  <c r="BB15" i="79"/>
  <c r="BA15" i="79"/>
  <c r="AZ15" i="79"/>
  <c r="AY15" i="79"/>
  <c r="AX15" i="79"/>
  <c r="AW15" i="79"/>
  <c r="AV15" i="79"/>
  <c r="AU15" i="79"/>
  <c r="AT15" i="79"/>
  <c r="AS15" i="79"/>
  <c r="AR15" i="79"/>
  <c r="AQ15" i="79"/>
  <c r="AP15" i="79"/>
  <c r="AO15" i="79"/>
  <c r="AN15" i="79"/>
  <c r="AM15" i="79"/>
  <c r="AL15" i="79"/>
  <c r="AL21" i="79" s="1"/>
  <c r="AK15" i="79"/>
  <c r="AJ15" i="79"/>
  <c r="AI15" i="79"/>
  <c r="AH15" i="79"/>
  <c r="AG15" i="79"/>
  <c r="AF15" i="79"/>
  <c r="AE15" i="79"/>
  <c r="AD15" i="79"/>
  <c r="AC15" i="79"/>
  <c r="AB15" i="79"/>
  <c r="AA15" i="79"/>
  <c r="Z15" i="79"/>
  <c r="Y15" i="79"/>
  <c r="X15" i="79"/>
  <c r="W15" i="79"/>
  <c r="V15" i="79"/>
  <c r="U15" i="79"/>
  <c r="T15" i="79"/>
  <c r="S15" i="79"/>
  <c r="R15" i="79"/>
  <c r="Q15" i="79"/>
  <c r="P15" i="79"/>
  <c r="O15" i="79"/>
  <c r="N15" i="79"/>
  <c r="K15" i="79"/>
  <c r="J15" i="79"/>
  <c r="BE14" i="79"/>
  <c r="BC14" i="79"/>
  <c r="BA14" i="79"/>
  <c r="AY14" i="79"/>
  <c r="AY26" i="79" s="1"/>
  <c r="AW14" i="79"/>
  <c r="AW26" i="79" s="1"/>
  <c r="AU14" i="79"/>
  <c r="AU26" i="79" s="1"/>
  <c r="AS14" i="79"/>
  <c r="AS26" i="79" s="1"/>
  <c r="AQ14" i="79"/>
  <c r="AQ26" i="79" s="1"/>
  <c r="AO14" i="79"/>
  <c r="AO26" i="79" s="1"/>
  <c r="AM14" i="79"/>
  <c r="AK14" i="79"/>
  <c r="AI14" i="79"/>
  <c r="AG14" i="79"/>
  <c r="AE14" i="79"/>
  <c r="AE26" i="79" s="1"/>
  <c r="AC14" i="79"/>
  <c r="AC26" i="79" s="1"/>
  <c r="AA14" i="79"/>
  <c r="Y14" i="79"/>
  <c r="W14" i="79"/>
  <c r="M14" i="79"/>
  <c r="K14" i="79"/>
  <c r="K26" i="79" s="1"/>
  <c r="BE13" i="79"/>
  <c r="BE25" i="79" s="1"/>
  <c r="BC13" i="79"/>
  <c r="BA13" i="79"/>
  <c r="AY13" i="79"/>
  <c r="AW13" i="79"/>
  <c r="AU13" i="79"/>
  <c r="AS13" i="79"/>
  <c r="AQ13" i="79"/>
  <c r="AO13" i="79"/>
  <c r="AM13" i="79"/>
  <c r="AM25" i="79" s="1"/>
  <c r="AK13" i="79"/>
  <c r="AK25" i="79" s="1"/>
  <c r="AI13" i="79"/>
  <c r="AG13" i="79"/>
  <c r="AE13" i="79"/>
  <c r="AC13" i="79"/>
  <c r="AA13" i="79"/>
  <c r="AA25" i="79" s="1"/>
  <c r="AA40" i="79" s="1"/>
  <c r="Y13" i="79"/>
  <c r="Y25" i="79" s="1"/>
  <c r="W13" i="79"/>
  <c r="M13" i="79"/>
  <c r="K13" i="79"/>
  <c r="BE12" i="79"/>
  <c r="BD12" i="79"/>
  <c r="BC12" i="79"/>
  <c r="BB12" i="79"/>
  <c r="BA12" i="79"/>
  <c r="AZ12" i="79"/>
  <c r="AY12" i="79"/>
  <c r="AX12" i="79"/>
  <c r="AW12" i="79"/>
  <c r="AV12" i="79"/>
  <c r="AU12" i="79"/>
  <c r="AT12" i="79"/>
  <c r="AS12" i="79"/>
  <c r="AR12" i="79"/>
  <c r="AQ12" i="79"/>
  <c r="AP12" i="79"/>
  <c r="AO12" i="79"/>
  <c r="AO24" i="79" s="1"/>
  <c r="AN12" i="79"/>
  <c r="AM12" i="79"/>
  <c r="AL12" i="79"/>
  <c r="AK12" i="79"/>
  <c r="AJ12" i="79"/>
  <c r="AI12" i="79"/>
  <c r="AH12" i="79"/>
  <c r="AG12" i="79"/>
  <c r="AF12" i="79"/>
  <c r="AE12" i="79"/>
  <c r="AD12" i="79"/>
  <c r="AC12" i="79"/>
  <c r="AB12" i="79"/>
  <c r="AA12" i="79"/>
  <c r="Z12" i="79"/>
  <c r="Y12" i="79"/>
  <c r="X12" i="79"/>
  <c r="W12" i="79"/>
  <c r="V12" i="79"/>
  <c r="M12" i="79"/>
  <c r="L12" i="79"/>
  <c r="K12" i="79"/>
  <c r="J12" i="79"/>
  <c r="N2" i="79"/>
  <c r="R2" i="79" s="1"/>
  <c r="V2" i="79" s="1"/>
  <c r="Z2" i="79" s="1"/>
  <c r="AD2" i="79" s="1"/>
  <c r="AH2" i="79" s="1"/>
  <c r="AL2" i="79" s="1"/>
  <c r="AP2" i="79" s="1"/>
  <c r="AT2" i="79" s="1"/>
  <c r="AX2" i="79" s="1"/>
  <c r="BB2" i="79" s="1"/>
  <c r="AK40" i="79" l="1"/>
  <c r="AQ25" i="79"/>
  <c r="AQ40" i="79" s="1"/>
  <c r="AW41" i="79"/>
  <c r="BA26" i="79"/>
  <c r="AM40" i="79"/>
  <c r="AO25" i="79"/>
  <c r="AO40" i="79" s="1"/>
  <c r="AQ41" i="79"/>
  <c r="AS25" i="79"/>
  <c r="AS40" i="79" s="1"/>
  <c r="BE40" i="79"/>
  <c r="BE26" i="79"/>
  <c r="BC21" i="79"/>
  <c r="BC24" i="79" s="1"/>
  <c r="BC39" i="79" s="1"/>
  <c r="AI41" i="79"/>
  <c r="AM26" i="79"/>
  <c r="AM41" i="79" s="1"/>
  <c r="BC26" i="79"/>
  <c r="P21" i="79"/>
  <c r="AJ21" i="79"/>
  <c r="AJ24" i="79" s="1"/>
  <c r="AJ39" i="79" s="1"/>
  <c r="Q21" i="79"/>
  <c r="AK21" i="79"/>
  <c r="AK24" i="79" s="1"/>
  <c r="AK39" i="79" s="1"/>
  <c r="BE21" i="79"/>
  <c r="BE24" i="79" s="1"/>
  <c r="BE39" i="79" s="1"/>
  <c r="AP21" i="79"/>
  <c r="AP24" i="79" s="1"/>
  <c r="AP39" i="79" s="1"/>
  <c r="BD21" i="79"/>
  <c r="AC41" i="79"/>
  <c r="AB21" i="79"/>
  <c r="AA26" i="79"/>
  <c r="AA41" i="79" s="1"/>
  <c r="AC24" i="79"/>
  <c r="AC39" i="79" s="1"/>
  <c r="M25" i="79"/>
  <c r="M40" i="79" s="1"/>
  <c r="AB24" i="79"/>
  <c r="AB39" i="79" s="1"/>
  <c r="AY25" i="79"/>
  <c r="AY40" i="79" s="1"/>
  <c r="O21" i="79"/>
  <c r="AI21" i="79"/>
  <c r="AI24" i="79" s="1"/>
  <c r="AI39" i="79" s="1"/>
  <c r="K25" i="79"/>
  <c r="K40" i="79" s="1"/>
  <c r="M26" i="79"/>
  <c r="M41" i="79" s="1"/>
  <c r="AN24" i="79"/>
  <c r="AN39" i="79" s="1"/>
  <c r="W25" i="79"/>
  <c r="W40" i="79" s="1"/>
  <c r="W26" i="79"/>
  <c r="W41" i="79" s="1"/>
  <c r="F36" i="79"/>
  <c r="AW24" i="79"/>
  <c r="AW39" i="79" s="1"/>
  <c r="AV24" i="79"/>
  <c r="AV39" i="79" s="1"/>
  <c r="AS41" i="79"/>
  <c r="AO39" i="79"/>
  <c r="Y26" i="79"/>
  <c r="Y41" i="79" s="1"/>
  <c r="AM39" i="79"/>
  <c r="AC25" i="79"/>
  <c r="AC40" i="79" s="1"/>
  <c r="AE25" i="79"/>
  <c r="AE40" i="79" s="1"/>
  <c r="AL24" i="79"/>
  <c r="AL39" i="79" s="1"/>
  <c r="V21" i="79"/>
  <c r="V24" i="79" s="1"/>
  <c r="V39" i="79" s="1"/>
  <c r="F23" i="79"/>
  <c r="AG25" i="79"/>
  <c r="AG40" i="79" s="1"/>
  <c r="W21" i="79"/>
  <c r="W24" i="79" s="1"/>
  <c r="W39" i="79" s="1"/>
  <c r="G23" i="79"/>
  <c r="AK26" i="79"/>
  <c r="AE41" i="79"/>
  <c r="AK41" i="79"/>
  <c r="AU41" i="79"/>
  <c r="AT24" i="79"/>
  <c r="AT39" i="79" s="1"/>
  <c r="AI25" i="79"/>
  <c r="AI40" i="79" s="1"/>
  <c r="X21" i="79"/>
  <c r="X24" i="79" s="1"/>
  <c r="X39" i="79" s="1"/>
  <c r="AR21" i="79"/>
  <c r="AR24" i="79" s="1"/>
  <c r="AR39" i="79" s="1"/>
  <c r="H23" i="79"/>
  <c r="BA25" i="79"/>
  <c r="BA40" i="79" s="1"/>
  <c r="BC25" i="79"/>
  <c r="BC40" i="79" s="1"/>
  <c r="Y40" i="79"/>
  <c r="G36" i="79"/>
  <c r="H36" i="79"/>
  <c r="AQ24" i="79"/>
  <c r="AQ39" i="79" s="1"/>
  <c r="Z24" i="79"/>
  <c r="Z39" i="79" s="1"/>
  <c r="AA24" i="79"/>
  <c r="AA39" i="79" s="1"/>
  <c r="AU24" i="79"/>
  <c r="AU39" i="79" s="1"/>
  <c r="Y21" i="79"/>
  <c r="Y24" i="79" s="1"/>
  <c r="Y39" i="79" s="1"/>
  <c r="AS21" i="79"/>
  <c r="AS24" i="79" s="1"/>
  <c r="AS39" i="79" s="1"/>
  <c r="I23" i="79"/>
  <c r="AU25" i="79"/>
  <c r="AU40" i="79" s="1"/>
  <c r="AG41" i="79"/>
  <c r="F49" i="79"/>
  <c r="G49" i="79"/>
  <c r="I36" i="79"/>
  <c r="F33" i="79"/>
  <c r="G33" i="79"/>
  <c r="H33" i="79"/>
  <c r="I33" i="79"/>
  <c r="F30" i="79"/>
  <c r="H30" i="79"/>
  <c r="G30" i="79"/>
  <c r="I30" i="79"/>
  <c r="H27" i="79"/>
  <c r="N27" i="79"/>
  <c r="F27" i="79" s="1"/>
  <c r="O27" i="79"/>
  <c r="I27" i="79"/>
  <c r="G27" i="79"/>
  <c r="H18" i="79"/>
  <c r="G22" i="79"/>
  <c r="G25" i="79" s="1"/>
  <c r="G40" i="79" s="1"/>
  <c r="I18" i="79"/>
  <c r="H22" i="79"/>
  <c r="I22" i="79"/>
  <c r="F18" i="79"/>
  <c r="F22" i="79"/>
  <c r="I15" i="79"/>
  <c r="G15" i="79"/>
  <c r="H15" i="79"/>
  <c r="F15" i="79"/>
  <c r="R12" i="79"/>
  <c r="G6" i="79"/>
  <c r="S12" i="79"/>
  <c r="H6" i="79"/>
  <c r="T12" i="79"/>
  <c r="I10" i="79"/>
  <c r="O14" i="79"/>
  <c r="O26" i="79" s="1"/>
  <c r="G8" i="79"/>
  <c r="I8" i="79"/>
  <c r="S14" i="79"/>
  <c r="S26" i="79" s="1"/>
  <c r="S41" i="79" s="1"/>
  <c r="N12" i="79"/>
  <c r="N24" i="79" s="1"/>
  <c r="N39" i="79" s="1"/>
  <c r="F9" i="79"/>
  <c r="G9" i="79"/>
  <c r="G12" i="79" s="1"/>
  <c r="O12" i="79"/>
  <c r="O24" i="79" s="1"/>
  <c r="O39" i="79" s="1"/>
  <c r="P12" i="79"/>
  <c r="P24" i="79" s="1"/>
  <c r="P39" i="79" s="1"/>
  <c r="H9" i="79"/>
  <c r="H12" i="79" s="1"/>
  <c r="Q12" i="79"/>
  <c r="Q24" i="79" s="1"/>
  <c r="Q39" i="79" s="1"/>
  <c r="I9" i="79"/>
  <c r="F6" i="79"/>
  <c r="U12" i="79"/>
  <c r="G10" i="79"/>
  <c r="G11" i="79"/>
  <c r="Q13" i="79"/>
  <c r="Q25" i="79" s="1"/>
  <c r="Q40" i="79" s="1"/>
  <c r="I7" i="79"/>
  <c r="I11" i="79"/>
  <c r="Q14" i="79"/>
  <c r="Q26" i="79" s="1"/>
  <c r="Q41" i="79" s="1"/>
  <c r="I6" i="79"/>
  <c r="G7" i="79"/>
  <c r="G13" i="79" s="1"/>
  <c r="O13" i="79"/>
  <c r="O25" i="79" s="1"/>
  <c r="O40" i="79" s="1"/>
  <c r="S13" i="79"/>
  <c r="S25" i="79" s="1"/>
  <c r="S40" i="79" s="1"/>
  <c r="U13" i="79"/>
  <c r="U25" i="79" s="1"/>
  <c r="U40" i="79" s="1"/>
  <c r="U14" i="79"/>
  <c r="U26" i="79" s="1"/>
  <c r="U41" i="79" s="1"/>
  <c r="S24" i="79"/>
  <c r="S39" i="79" s="1"/>
  <c r="BE41" i="79"/>
  <c r="BC41" i="79"/>
  <c r="J24" i="79"/>
  <c r="J39" i="79" s="1"/>
  <c r="AD24" i="79"/>
  <c r="AD39" i="79" s="1"/>
  <c r="AX24" i="79"/>
  <c r="AX39" i="79" s="1"/>
  <c r="K24" i="79"/>
  <c r="K39" i="79" s="1"/>
  <c r="AE24" i="79"/>
  <c r="AE39" i="79" s="1"/>
  <c r="AY24" i="79"/>
  <c r="AY39" i="79" s="1"/>
  <c r="AO41" i="79"/>
  <c r="AG24" i="79"/>
  <c r="AG39" i="79" s="1"/>
  <c r="BB24" i="79"/>
  <c r="BB39" i="79" s="1"/>
  <c r="BD24" i="79"/>
  <c r="BD39" i="79" s="1"/>
  <c r="L24" i="79"/>
  <c r="L39" i="79" s="1"/>
  <c r="BA24" i="79"/>
  <c r="BA39" i="79" s="1"/>
  <c r="AH24" i="79"/>
  <c r="AH39" i="79" s="1"/>
  <c r="BA41" i="79"/>
  <c r="AF24" i="79"/>
  <c r="AF39" i="79" s="1"/>
  <c r="AZ24" i="79"/>
  <c r="AZ39" i="79" s="1"/>
  <c r="M24" i="79"/>
  <c r="M39" i="79" s="1"/>
  <c r="AY41" i="79"/>
  <c r="R21" i="79"/>
  <c r="R24" i="79" s="1"/>
  <c r="R39" i="79" s="1"/>
  <c r="T21" i="79"/>
  <c r="U21" i="79"/>
  <c r="G18" i="79"/>
  <c r="K41" i="79"/>
  <c r="H21" i="79" l="1"/>
  <c r="H24" i="79" s="1"/>
  <c r="H39" i="79" s="1"/>
  <c r="I21" i="79"/>
  <c r="G21" i="79"/>
  <c r="T24" i="79"/>
  <c r="T39" i="79" s="1"/>
  <c r="F12" i="79"/>
  <c r="I12" i="79"/>
  <c r="O41" i="79"/>
  <c r="F21" i="79"/>
  <c r="F24" i="79" s="1"/>
  <c r="F39" i="79" s="1"/>
  <c r="G24" i="79"/>
  <c r="G39" i="79" s="1"/>
  <c r="I14" i="79"/>
  <c r="I26" i="79" s="1"/>
  <c r="I41" i="79" s="1"/>
  <c r="G14" i="79"/>
  <c r="G26" i="79" s="1"/>
  <c r="G41" i="79" s="1"/>
  <c r="U24" i="79"/>
  <c r="U39" i="79" s="1"/>
  <c r="I24" i="79"/>
  <c r="I39" i="79" s="1"/>
  <c r="I13" i="79"/>
  <c r="I25" i="79" s="1"/>
  <c r="I40" i="79" s="1"/>
  <c r="N6" i="8" l="1"/>
  <c r="J6" i="8"/>
  <c r="D6" i="8"/>
  <c r="F5" i="9"/>
  <c r="G5" i="9"/>
  <c r="F6" i="9"/>
  <c r="G6" i="9"/>
  <c r="F7" i="9"/>
  <c r="G7" i="9"/>
  <c r="F8" i="9"/>
  <c r="G8" i="9"/>
  <c r="F9" i="9"/>
  <c r="G9" i="9"/>
  <c r="F10" i="9"/>
  <c r="G10" i="9"/>
  <c r="F11" i="9"/>
  <c r="G11" i="9"/>
  <c r="F12" i="9"/>
  <c r="G12" i="9"/>
  <c r="F13" i="9"/>
  <c r="G13" i="9"/>
  <c r="F14" i="9"/>
  <c r="G14" i="9"/>
  <c r="F15" i="9"/>
  <c r="G15" i="9"/>
  <c r="F16" i="9"/>
  <c r="G16" i="9"/>
  <c r="F17" i="9"/>
  <c r="G17" i="9"/>
  <c r="F18" i="9"/>
  <c r="G18" i="9"/>
  <c r="F19" i="9"/>
  <c r="G19" i="9"/>
  <c r="F20" i="9"/>
  <c r="G20" i="9"/>
  <c r="F21" i="9"/>
  <c r="G21" i="9"/>
  <c r="F22" i="9"/>
  <c r="G22" i="9"/>
  <c r="F23" i="9"/>
  <c r="G23" i="9"/>
  <c r="F24" i="9"/>
  <c r="G24" i="9"/>
  <c r="F25" i="9"/>
  <c r="G25" i="9"/>
  <c r="F26" i="9"/>
  <c r="G26" i="9"/>
  <c r="F27" i="9"/>
  <c r="G27" i="9"/>
  <c r="F28" i="9"/>
  <c r="G28" i="9"/>
  <c r="F29" i="9"/>
  <c r="G29" i="9"/>
  <c r="F30" i="9"/>
  <c r="G30" i="9"/>
  <c r="F31" i="9"/>
  <c r="G31" i="9"/>
  <c r="F32" i="9"/>
  <c r="G32" i="9"/>
  <c r="F33" i="9"/>
  <c r="G33" i="9"/>
  <c r="F34" i="9"/>
  <c r="G34" i="9"/>
  <c r="F35" i="9"/>
  <c r="G35" i="9"/>
  <c r="F36" i="9"/>
  <c r="G36" i="9"/>
  <c r="F37" i="9"/>
  <c r="G37" i="9"/>
  <c r="F38" i="9"/>
  <c r="G38" i="9"/>
  <c r="F39" i="9"/>
  <c r="G39" i="9"/>
  <c r="F40" i="9"/>
  <c r="G40" i="9"/>
  <c r="F41" i="9"/>
  <c r="G41" i="9"/>
  <c r="F42" i="9"/>
  <c r="G42" i="9"/>
  <c r="F43" i="9"/>
  <c r="G43" i="9"/>
  <c r="F44" i="9"/>
  <c r="G44" i="9"/>
  <c r="F45" i="9"/>
  <c r="G45" i="9"/>
  <c r="F46" i="9"/>
  <c r="G46" i="9"/>
  <c r="F47" i="9"/>
  <c r="G47" i="9"/>
  <c r="F48" i="9"/>
  <c r="G48" i="9"/>
  <c r="F49" i="9"/>
  <c r="G49" i="9"/>
  <c r="F50" i="9"/>
  <c r="G50" i="9"/>
  <c r="F51" i="9"/>
  <c r="G51" i="9"/>
  <c r="F52" i="9"/>
  <c r="G52" i="9"/>
  <c r="F53" i="9"/>
  <c r="G53" i="9"/>
  <c r="F54" i="9"/>
  <c r="G54" i="9"/>
  <c r="F55" i="9"/>
  <c r="G55" i="9"/>
  <c r="F56" i="9"/>
  <c r="G56" i="9"/>
  <c r="F57" i="9"/>
  <c r="G57" i="9"/>
  <c r="F58" i="9"/>
  <c r="G58" i="9"/>
  <c r="F59" i="9"/>
  <c r="G59" i="9"/>
  <c r="F60" i="9"/>
  <c r="G60" i="9"/>
  <c r="F61" i="9"/>
  <c r="G61" i="9"/>
  <c r="F62" i="9"/>
  <c r="G62" i="9"/>
  <c r="G4" i="9"/>
  <c r="F4" i="9"/>
  <c r="G63" i="9" l="1"/>
  <c r="F63" i="9"/>
  <c r="L63" i="9"/>
  <c r="M63" i="9"/>
  <c r="H9" i="8"/>
  <c r="B9" i="8" s="1"/>
  <c r="I9" i="8"/>
  <c r="B38" i="17" l="1"/>
  <c r="C27" i="17" l="1"/>
  <c r="J63" i="9" l="1"/>
  <c r="K63" i="9"/>
  <c r="J2" i="9"/>
  <c r="L2" i="9" s="1"/>
  <c r="N2" i="9" s="1"/>
  <c r="P2" i="9" s="1"/>
  <c r="R2" i="9" s="1"/>
  <c r="T2" i="9" s="1"/>
  <c r="V2" i="9" s="1"/>
  <c r="X2" i="9" s="1"/>
  <c r="Z2" i="9" s="1"/>
  <c r="AB2" i="9" s="1"/>
  <c r="AD2" i="9" s="1"/>
  <c r="I8" i="8"/>
  <c r="H8" i="8"/>
  <c r="B8" i="8" s="1"/>
  <c r="I7" i="8"/>
  <c r="H7" i="8"/>
  <c r="B7" i="8" s="1"/>
  <c r="K7" i="13" l="1"/>
  <c r="J7" i="13"/>
  <c r="J6" i="12" l="1"/>
  <c r="E63" i="9" l="1"/>
  <c r="H63" i="9"/>
  <c r="I63" i="9"/>
  <c r="D63" i="9"/>
  <c r="J5" i="16" l="1"/>
  <c r="I5" i="16"/>
  <c r="H5" i="16"/>
  <c r="G5" i="16"/>
  <c r="F5" i="16"/>
  <c r="E5" i="16"/>
  <c r="D5" i="16"/>
  <c r="C5" i="16"/>
  <c r="B5" i="16"/>
  <c r="M6" i="15"/>
  <c r="L6" i="15"/>
  <c r="K6" i="15"/>
  <c r="J6" i="15"/>
  <c r="I6" i="15"/>
  <c r="H6" i="15"/>
  <c r="G6" i="15"/>
  <c r="F6" i="15"/>
  <c r="E6" i="15"/>
  <c r="D6" i="15"/>
  <c r="C6" i="15"/>
  <c r="B6" i="15"/>
  <c r="I9" i="14"/>
  <c r="H9" i="14"/>
  <c r="I8" i="14"/>
  <c r="H8" i="14"/>
  <c r="I6" i="14"/>
  <c r="H6" i="14"/>
  <c r="G5" i="14"/>
  <c r="F5" i="14"/>
  <c r="E5" i="14"/>
  <c r="D5" i="14"/>
  <c r="C5" i="14"/>
  <c r="B5" i="14"/>
  <c r="K10" i="13"/>
  <c r="K9" i="13"/>
  <c r="J9" i="13"/>
  <c r="K8" i="13"/>
  <c r="K5" i="13" s="1"/>
  <c r="J8" i="13"/>
  <c r="K6" i="13"/>
  <c r="J6" i="13"/>
  <c r="I5" i="13"/>
  <c r="H5" i="13"/>
  <c r="G5" i="13"/>
  <c r="F5" i="13"/>
  <c r="E5" i="13"/>
  <c r="D5" i="13"/>
  <c r="C5" i="13"/>
  <c r="B5" i="13"/>
  <c r="K10" i="12"/>
  <c r="J10" i="12"/>
  <c r="K9" i="12"/>
  <c r="J9" i="12"/>
  <c r="K8" i="12"/>
  <c r="J8" i="12"/>
  <c r="K7" i="12"/>
  <c r="J7" i="12"/>
  <c r="K6" i="12"/>
  <c r="I5" i="12"/>
  <c r="H5" i="12"/>
  <c r="G5" i="12"/>
  <c r="F5" i="12"/>
  <c r="E5" i="12"/>
  <c r="D5" i="12"/>
  <c r="C5" i="12"/>
  <c r="B5" i="12"/>
  <c r="C10" i="11"/>
  <c r="B10" i="11"/>
  <c r="C9" i="11"/>
  <c r="B9" i="11"/>
  <c r="C8" i="11"/>
  <c r="B8" i="11"/>
  <c r="C7" i="11"/>
  <c r="B7" i="11"/>
  <c r="C6" i="11"/>
  <c r="B6" i="11"/>
  <c r="A18" i="11" s="1"/>
  <c r="O5" i="11"/>
  <c r="N5" i="11"/>
  <c r="M5" i="11"/>
  <c r="L5" i="11"/>
  <c r="K5" i="11"/>
  <c r="J5" i="11"/>
  <c r="I5" i="11"/>
  <c r="H5" i="11"/>
  <c r="G5" i="11"/>
  <c r="F5" i="11"/>
  <c r="E5" i="11"/>
  <c r="D5" i="11"/>
  <c r="C10" i="10"/>
  <c r="B10" i="10"/>
  <c r="C9" i="10"/>
  <c r="B9" i="10"/>
  <c r="C8" i="10"/>
  <c r="B8" i="10"/>
  <c r="C7" i="10"/>
  <c r="B7" i="10"/>
  <c r="Q6" i="10"/>
  <c r="P6" i="10"/>
  <c r="O6" i="10"/>
  <c r="N6" i="10"/>
  <c r="M6" i="10"/>
  <c r="L6" i="10"/>
  <c r="K6" i="10"/>
  <c r="J6" i="10"/>
  <c r="I6" i="10"/>
  <c r="H6" i="10"/>
  <c r="G6" i="10"/>
  <c r="F6" i="10"/>
  <c r="E6" i="10"/>
  <c r="D6" i="10"/>
  <c r="B11" i="8"/>
  <c r="C10" i="8"/>
  <c r="B10" i="8"/>
  <c r="A19" i="8" s="1"/>
  <c r="C8" i="8"/>
  <c r="C7" i="8"/>
  <c r="M6" i="8"/>
  <c r="L6" i="8"/>
  <c r="K6" i="8"/>
  <c r="G6" i="8"/>
  <c r="F6" i="8"/>
  <c r="H6" i="8" s="1"/>
  <c r="E6" i="8"/>
  <c r="I6" i="8" s="1"/>
  <c r="A19" i="10" l="1"/>
  <c r="H5" i="14"/>
  <c r="B6" i="8"/>
  <c r="J5" i="12"/>
  <c r="K5" i="12"/>
  <c r="I5" i="14"/>
  <c r="J5" i="13"/>
  <c r="B6" i="10"/>
  <c r="B5" i="11"/>
  <c r="C6" i="10"/>
  <c r="C5" i="11"/>
  <c r="C9" i="8"/>
  <c r="C6" i="8" s="1"/>
  <c r="O6" i="8"/>
</calcChain>
</file>

<file path=xl/sharedStrings.xml><?xml version="1.0" encoding="utf-8"?>
<sst xmlns="http://schemas.openxmlformats.org/spreadsheetml/2006/main" count="3574" uniqueCount="1429">
  <si>
    <t>CURRENT STATISTICS</t>
  </si>
  <si>
    <t>Table 1: SEBI Registered Market Intermediaries/Institutions</t>
  </si>
  <si>
    <t>Table 2: Company-Wise Capital Raised through Public and Rights Issues (Equity)</t>
  </si>
  <si>
    <t>Table 3: Offers closed during the month under SEBI (SAST), 2011</t>
  </si>
  <si>
    <t>Table 7: Industry-wise Classification of Capital Raised through Public and Rights Issues (Equity)</t>
  </si>
  <si>
    <t>Table 8: Sector-wise and Region-wise Distribution of Capital Mobilised through Public and Rights Issues (Equity)</t>
  </si>
  <si>
    <t>Table 9: Size-wise Classification of Capital Raised through Public and Rights Issues (Equity)</t>
  </si>
  <si>
    <t>Table 10: Capital Raised by Listed Companies from the Primary Market through QIPs</t>
  </si>
  <si>
    <t>Table 11: Preferential Allotments Listed at BSE and NSE</t>
  </si>
  <si>
    <t>Table 13: Trends in Settled Trades in the Corporate Debt Market</t>
  </si>
  <si>
    <t>Table 14: Ratings Assigned for Long-term Corporate Debt Securities (Maturity &gt;= 1 year)</t>
  </si>
  <si>
    <t>Table 15: Review of Accepted Ratings of Corporate Debt Securities (Maturity &gt;= 1 year)</t>
  </si>
  <si>
    <t>Table 16: Distribution of Turnover on Cash Segments of Exchanges</t>
  </si>
  <si>
    <t>Table 17: Trends in Cash Segment of BSE</t>
  </si>
  <si>
    <t>Table 18: Trends in Cash Segment of NSE</t>
  </si>
  <si>
    <t>Table 19: Trends in Cash Segment of MSEI</t>
  </si>
  <si>
    <t>Table 20: City-wise Distribution of Turnover on Cash Segments</t>
  </si>
  <si>
    <t>Table 21: Category-wise Share of Turnover in Cash Segment of BSE</t>
  </si>
  <si>
    <t>Table 22: Category-wise Share of Turnover in Cash Segment of NSE</t>
  </si>
  <si>
    <t>Table 23: Category-wise Share of Turnover in Cash Segment of MSEI</t>
  </si>
  <si>
    <t>Table 24: Component Stocks: S&amp;P BSE Sensex</t>
  </si>
  <si>
    <t>Table 25: Component Stocks: Nifty 50 Index</t>
  </si>
  <si>
    <t>Table 26: Component Stock: SX 40 Index</t>
  </si>
  <si>
    <t>Table 27: Advances/Declines in Cash Segment</t>
  </si>
  <si>
    <t>Table 28: Trading Frequency in Cash Segment</t>
  </si>
  <si>
    <t>Table 29: Daily Volatility of Major Indices</t>
  </si>
  <si>
    <t>Table 30: Percentage Share of Top ‘N’ Securities/Members in Turnover of Cash Segment</t>
  </si>
  <si>
    <t>Table 31: Settlement Statistics for Cash Segment of BSE</t>
  </si>
  <si>
    <t xml:space="preserve">Table 32: Settlement Statistics for Cash Segment of NSE </t>
  </si>
  <si>
    <t xml:space="preserve">Table 33: Settlement Statistics for Cash Segment of MSEI </t>
  </si>
  <si>
    <t xml:space="preserve">Table 34: Trends in Equity Derivatives Segment at BSE (Turnover in Notional Value) </t>
  </si>
  <si>
    <t xml:space="preserve">Table 35: Trends in Equity Derivatives Segment at NSE (Turnover in Notional Value) </t>
  </si>
  <si>
    <t>Table 36: Settlement Statistics in Equity Derivatives Segment at BSE and NSE</t>
  </si>
  <si>
    <t>Table 37: Category-wise Share of Turnover &amp; Open Interest in Equity Derivative Segment of BSE</t>
  </si>
  <si>
    <t>Table 38: Category-wise Share of Turnover &amp; Open Interest in Equity Derivative Segment of NSE</t>
  </si>
  <si>
    <t>Table 39: Instrument-wise Turnover in Index Derivatives at BSE</t>
  </si>
  <si>
    <t>Table 40: Instrument-wise Turnover in Index Derivatives at NSE</t>
  </si>
  <si>
    <t>Table 41: Trends in Currency Derivatives Segment at BSE</t>
  </si>
  <si>
    <t>Table 42: Trends in Currency Derivatives Segment at NSE</t>
  </si>
  <si>
    <t>Table 43: Trends in Currency Derivatives Segment at MSEI</t>
  </si>
  <si>
    <t xml:space="preserve">Table 44: Settlement Statistics of Currency Derivatives Segment </t>
  </si>
  <si>
    <t>Table 45: Instrument-wise Turnover in Currency Futures Segment of BSE</t>
  </si>
  <si>
    <t>Table 46: Instrument-wise Turnover in Currency Derivatives Segment  of NSE</t>
  </si>
  <si>
    <t>Table 47: Instrument-wise Turnover in Currency Derivative Segment of MSEI</t>
  </si>
  <si>
    <t>Table 48: Maturity-wise Turnover in Currency Derivative Segment of BSE</t>
  </si>
  <si>
    <t>Table 49: Maturity-wise Turnover in Currency Derivative Segment of NSE</t>
  </si>
  <si>
    <t xml:space="preserve">Table 50: Maturity-wise Turnover in Currency Derivative Segment of MSEI </t>
  </si>
  <si>
    <t>Table 51: Trading Statistics of Interest Rate Futures at BSE, NSE and MSEI</t>
  </si>
  <si>
    <t>Table 52: Settlement Statistics in Interest Rate Futures at BSE, NSE and MSEI</t>
  </si>
  <si>
    <t>Table 53: Trends in Foreign Portfolio Investment</t>
  </si>
  <si>
    <t>Table 54: Notional Value of Offshore Derivative Instruments (ODIs) Vs Assets Under Custody (AUC) of FPIs</t>
  </si>
  <si>
    <t>Table 55: Assets under the Custody of Custodians</t>
  </si>
  <si>
    <t>Table 56: Cumulative Sectoral  Investment of Foreign Venture Capital Investors (FVCIs)</t>
  </si>
  <si>
    <t xml:space="preserve">Table 57: Trends in Resource Mobilization by Mutual Funds </t>
  </si>
  <si>
    <t>Table 58: Scheme-wise Statistics of Mutual Funds</t>
  </si>
  <si>
    <t>Table 59: Trends in Transactions on Stock Exchanges by Mutual Funds</t>
  </si>
  <si>
    <t>Table 60: Assets Managed by Portfolio Managers</t>
  </si>
  <si>
    <t>Table 61: Progress Report of NSDL &amp; CDSl as on end of Month (Listed Companies)</t>
  </si>
  <si>
    <t>Table 62: Progress of Dematerialisation at NSDL and CDSL (Listed and Unlisted Companies)</t>
  </si>
  <si>
    <t>Table 63: Depository Statistics</t>
  </si>
  <si>
    <t>Table 64: Number of Commodities Permitted and traded at Exchanges</t>
  </si>
  <si>
    <t>Table 65: Trends in Commodity Indices</t>
  </si>
  <si>
    <t>Table 66: Trends in Commodity Derivatives at MCX</t>
  </si>
  <si>
    <t>Table 67: Trends in Commodity Derivatives at NCDEX</t>
  </si>
  <si>
    <t>Table 68: Trends in  Commodity Derivatives at BSE</t>
  </si>
  <si>
    <t>Table 69: Trends in Commodity Derivatives at NSE</t>
  </si>
  <si>
    <t>Table 70: Participant-wise percentage share of turnover in Commodity Futures</t>
  </si>
  <si>
    <t>Table 71: Commodity-wise Trading Volume and Turnover at MCX</t>
  </si>
  <si>
    <t>Table 72: Commodity-wise Trading Volume and Turnover at NCDEX</t>
  </si>
  <si>
    <t>Table 73: Commodity-wise Trading Volume and Turnover at ICEX, NSE and BSE</t>
  </si>
  <si>
    <t>Table 74: Macro Economic Indicators</t>
  </si>
  <si>
    <t>2022-23</t>
  </si>
  <si>
    <t>2023-24$</t>
  </si>
  <si>
    <t>BSE</t>
  </si>
  <si>
    <t>NSE</t>
  </si>
  <si>
    <t>MSEI</t>
  </si>
  <si>
    <t>MCX</t>
  </si>
  <si>
    <t>NCDEX</t>
  </si>
  <si>
    <t>NSDL</t>
  </si>
  <si>
    <t>CDSL</t>
  </si>
  <si>
    <t>Mutual Funds</t>
  </si>
  <si>
    <t>Notes:</t>
  </si>
  <si>
    <t>Sl.No.</t>
  </si>
  <si>
    <t>Name of the Issuer/Company</t>
  </si>
  <si>
    <t>Date of Listing</t>
  </si>
  <si>
    <t>Type of Issue</t>
  </si>
  <si>
    <t>Number of Shares issued</t>
  </si>
  <si>
    <t>Face Value (₹ )</t>
  </si>
  <si>
    <t>Premium Value (₹ )</t>
  </si>
  <si>
    <t>Issue Price (₹ )</t>
  </si>
  <si>
    <t>Amount raised (in crores)</t>
  </si>
  <si>
    <t>Oversubscribed (no. of times)</t>
  </si>
  <si>
    <t>Allocation in Net offer to public &amp; Others (No. of shares)</t>
  </si>
  <si>
    <t>Net offer to public*</t>
  </si>
  <si>
    <t>Fresh</t>
  </si>
  <si>
    <t>OFS</t>
  </si>
  <si>
    <t>Total</t>
  </si>
  <si>
    <t>QIB</t>
  </si>
  <si>
    <t>NII</t>
  </si>
  <si>
    <t>RII</t>
  </si>
  <si>
    <t>Others, if any (Market Maker &amp; Reservation)</t>
  </si>
  <si>
    <t>IPO</t>
  </si>
  <si>
    <t>Rights</t>
  </si>
  <si>
    <t>*Shares issued by the Company are partly paid up but the information is provided considering the same as fully paid up.</t>
  </si>
  <si>
    <t>Net offer to Public = QIB (Including anchor) + RII + NII (Excluding Employee Reservation +Shareholder Reservation + Market maker)</t>
  </si>
  <si>
    <t>Sl.No</t>
  </si>
  <si>
    <t>Target Company</t>
  </si>
  <si>
    <t>Acquirers/PACs</t>
  </si>
  <si>
    <t>Public Announcement Date</t>
  </si>
  <si>
    <t>Offer Opening Date</t>
  </si>
  <si>
    <t>Offer Closing Date</t>
  </si>
  <si>
    <t>Offer Size</t>
  </si>
  <si>
    <t>Offer
 Price 
(₹ ) per share</t>
  </si>
  <si>
    <t>Offer Size (₹  crore)</t>
  </si>
  <si>
    <t>No. of 
Shares</t>
  </si>
  <si>
    <t>Percent of Equity 
Capital</t>
  </si>
  <si>
    <t>Year / Month</t>
  </si>
  <si>
    <t>Open Offers</t>
  </si>
  <si>
    <t>Objectives</t>
  </si>
  <si>
    <t>Change in Control 
of Management</t>
  </si>
  <si>
    <t>Consolidation of Holdings</t>
  </si>
  <si>
    <t>Substantial Acquisition</t>
  </si>
  <si>
    <t>No. of Offers</t>
  </si>
  <si>
    <t>Amount (₹  crore)</t>
  </si>
  <si>
    <t>Amount (₹ crore)</t>
  </si>
  <si>
    <t>Apr-23</t>
  </si>
  <si>
    <t>May-23</t>
  </si>
  <si>
    <t>*In instances where offers have more than one objective, the issue is classified only under one of the same.</t>
  </si>
  <si>
    <t>Data is compiled based on offer closing date</t>
  </si>
  <si>
    <t>$ indicates upto July 31, 2023</t>
  </si>
  <si>
    <t>Source: SEBI.</t>
  </si>
  <si>
    <t>Modes of Fund Raising</t>
  </si>
  <si>
    <t>Financial Sector</t>
  </si>
  <si>
    <t>Non-Financial Sector</t>
  </si>
  <si>
    <t>No. of Issues</t>
  </si>
  <si>
    <t>Amount
(Rs.crore)</t>
  </si>
  <si>
    <t>Equity Issues</t>
  </si>
  <si>
    <t>Total
(Equity+Debt)</t>
  </si>
  <si>
    <t>Public</t>
  </si>
  <si>
    <t>Listed</t>
  </si>
  <si>
    <t>Debt</t>
  </si>
  <si>
    <t>No. of issues</t>
  </si>
  <si>
    <t>Year/ Month</t>
  </si>
  <si>
    <t>Source: SEBI</t>
  </si>
  <si>
    <t>Table 7:  Industry-wise Classification of Capital Raised through Public and Rights Issues (Equity)</t>
  </si>
  <si>
    <t>Industry</t>
  </si>
  <si>
    <t>Consumer Services</t>
  </si>
  <si>
    <t>Healthcare</t>
  </si>
  <si>
    <t>Power</t>
  </si>
  <si>
    <t>Notes - From April 2020 onwards, data on IPO issues are categorised based on the listing date .</t>
  </si>
  <si>
    <t>Sector-wise</t>
  </si>
  <si>
    <t>Region-wise</t>
  </si>
  <si>
    <t>Private</t>
  </si>
  <si>
    <t>Northern</t>
  </si>
  <si>
    <t>Eastern</t>
  </si>
  <si>
    <t>Western</t>
  </si>
  <si>
    <t>Southern</t>
  </si>
  <si>
    <t>Central</t>
  </si>
  <si>
    <t>&lt; 5 crore</t>
  </si>
  <si>
    <t>≥ 5crore - &lt; 10crore</t>
  </si>
  <si>
    <t xml:space="preserve">  ≥ 10 crore - &lt; 50 crore</t>
  </si>
  <si>
    <t xml:space="preserve">  ≥ 50 crore - &lt; 100 crore</t>
  </si>
  <si>
    <t xml:space="preserve">  ≥ 100 crore -&lt;500 crore</t>
  </si>
  <si>
    <t>&gt;=₹500 crore</t>
  </si>
  <si>
    <t>Only BSE</t>
  </si>
  <si>
    <t>Only NSE</t>
  </si>
  <si>
    <t>Only MSEI</t>
  </si>
  <si>
    <t>Both NSE and BSE</t>
  </si>
  <si>
    <t xml:space="preserve">Notes: 1. The above data includes both "no. of issues" and "Amount" raised on conversion of convertible securities issued on QIP basis. 
</t>
  </si>
  <si>
    <t>Source: BSE, NSE and MSEI.</t>
  </si>
  <si>
    <t>Year/Month</t>
  </si>
  <si>
    <t>Common#</t>
  </si>
  <si>
    <t>#Listed at any two or three exchanges.</t>
  </si>
  <si>
    <t>Source: BSE and NSE</t>
  </si>
  <si>
    <t>Table 14: Ratings Assigned for Long-term Corporate Debt Securities (Maturity ≥ 1 year)</t>
  </si>
  <si>
    <t>Grade</t>
  </si>
  <si>
    <t>Investment Grade</t>
  </si>
  <si>
    <t>Non-Investment Grade</t>
  </si>
  <si>
    <t>Highest Safety (AAA)</t>
  </si>
  <si>
    <t>High Safety (AA)</t>
  </si>
  <si>
    <t>Adequate Safety (A)</t>
  </si>
  <si>
    <t>Moderate Safety (BBB)</t>
  </si>
  <si>
    <t>Period</t>
  </si>
  <si>
    <t>Jun-23</t>
  </si>
  <si>
    <t>Jul-23</t>
  </si>
  <si>
    <t>This data is provisonal</t>
  </si>
  <si>
    <t>Source: Credit Rating Agencies.</t>
  </si>
  <si>
    <t>Table 15: Review of Accepted Ratings of Corporate Debt Securities (Maturity ≥ 1 year)</t>
  </si>
  <si>
    <t>Upgraded</t>
  </si>
  <si>
    <t>Downgraded</t>
  </si>
  <si>
    <t>Reaffirmed</t>
  </si>
  <si>
    <t>Rating Watch</t>
  </si>
  <si>
    <t>Withdrawn/ Suspended</t>
  </si>
  <si>
    <t>$ indicates  upto July 31, 2023</t>
  </si>
  <si>
    <t>Table 74:  Macro Economic Indicators</t>
  </si>
  <si>
    <t xml:space="preserve">IV.  Monetary and Banking Indicators                  </t>
  </si>
  <si>
    <t>Cash Reserve Ratio (per cent)</t>
  </si>
  <si>
    <t>Repo Rate (per cent)</t>
  </si>
  <si>
    <t>Money Supply (M3)  (₹ billion)</t>
  </si>
  <si>
    <t>Aggregate Deposit (₹ billion)</t>
  </si>
  <si>
    <t>Bank Credit (₹ billion)</t>
  </si>
  <si>
    <t xml:space="preserve">V. Interest Rate                        </t>
  </si>
  <si>
    <t>Call Money Rate (Weighted Average)</t>
  </si>
  <si>
    <t>91-Day-Treasury Bill (Primary Yield)</t>
  </si>
  <si>
    <t>Base rate (per cent)</t>
  </si>
  <si>
    <t xml:space="preserve">Term Deposit Rate &gt; 1 year </t>
  </si>
  <si>
    <t>6.00/7.25</t>
  </si>
  <si>
    <t>VI. Capital Market Indicators (₹crore)</t>
  </si>
  <si>
    <t xml:space="preserve">Equity Cash Turnover (BSE+NSE) </t>
  </si>
  <si>
    <t xml:space="preserve">Market Cap-BSE </t>
  </si>
  <si>
    <t xml:space="preserve">Market Cap-NSE </t>
  </si>
  <si>
    <t xml:space="preserve">Net FPI Investment in Equity </t>
  </si>
  <si>
    <t>VII. Exchange Rate and Reserves</t>
  </si>
  <si>
    <t>Forex Reserves (USD million)</t>
  </si>
  <si>
    <t>Re/ Dollar</t>
  </si>
  <si>
    <t>Re/Euro</t>
  </si>
  <si>
    <t>Forward Premia of USD  6-month</t>
  </si>
  <si>
    <t>VIII.  Public Borrowing and Inflation Rate (Y-o-Y)</t>
  </si>
  <si>
    <t>Central Govt. Market Borrowing-Gross (₹ billion)</t>
  </si>
  <si>
    <t>Wholesale Price Index (2011-12=100) Rate (in per cent) (Y-o-Y)</t>
  </si>
  <si>
    <t>Consumer Price Index (2012 =100) Rate (in per cent) (Y-o-Y)</t>
  </si>
  <si>
    <t>IX.  Index of Industrial Production (Base year 2011-12 = 100)</t>
  </si>
  <si>
    <t>General</t>
  </si>
  <si>
    <t>NA</t>
  </si>
  <si>
    <t>Mining</t>
  </si>
  <si>
    <t>Manufacturing</t>
  </si>
  <si>
    <t>Electricity</t>
  </si>
  <si>
    <t>X. External Sector Indicators (USD billion)</t>
  </si>
  <si>
    <t xml:space="preserve">Exports </t>
  </si>
  <si>
    <t>Imports</t>
  </si>
  <si>
    <t>Trade Balance</t>
  </si>
  <si>
    <t xml:space="preserve">Notes: </t>
  </si>
  <si>
    <t>^ cumulative figure value of the respective months.</t>
  </si>
  <si>
    <t>Data for CPI, WPI, IIP and External sector have been compiled based on available information.</t>
  </si>
  <si>
    <t>Value (₹ crore)</t>
  </si>
  <si>
    <t>-</t>
  </si>
  <si>
    <t>Stock Exchanges</t>
  </si>
  <si>
    <t>Includes exchange traded turnnover in corporate bonds</t>
  </si>
  <si>
    <t xml:space="preserve">Table 17: Trends in Cash Segment of BSE </t>
  </si>
  <si>
    <t xml:space="preserve">No. of Companies Listed </t>
  </si>
  <si>
    <t>No. of Companies Permitted</t>
  </si>
  <si>
    <t xml:space="preserve">No. of Companies Traded </t>
  </si>
  <si>
    <t>No. of Trading Days</t>
  </si>
  <si>
    <t>No. of Trades (Lakh)</t>
  </si>
  <si>
    <t>Traded Quantity (Lakh)</t>
  </si>
  <si>
    <r>
      <t>Turnover (</t>
    </r>
    <r>
      <rPr>
        <b/>
        <sz val="11"/>
        <color indexed="8"/>
        <rFont val="Rupee Foradian"/>
        <family val="2"/>
      </rPr>
      <t xml:space="preserve">` </t>
    </r>
    <r>
      <rPr>
        <b/>
        <sz val="11"/>
        <color indexed="8"/>
        <rFont val="Garamond"/>
        <family val="1"/>
      </rPr>
      <t>crore)</t>
    </r>
  </si>
  <si>
    <r>
      <t>Average Daily Turnover (</t>
    </r>
    <r>
      <rPr>
        <b/>
        <sz val="11"/>
        <color indexed="8"/>
        <rFont val="Rupee Foradian"/>
        <family val="2"/>
      </rPr>
      <t>`</t>
    </r>
    <r>
      <rPr>
        <b/>
        <sz val="11"/>
        <color indexed="8"/>
        <rFont val="Garamond"/>
        <family val="1"/>
      </rPr>
      <t xml:space="preserve"> crore)</t>
    </r>
  </si>
  <si>
    <r>
      <t>Average Trade Size (</t>
    </r>
    <r>
      <rPr>
        <b/>
        <sz val="11"/>
        <color indexed="8"/>
        <rFont val="Rupee Foradian"/>
        <family val="2"/>
      </rPr>
      <t>`</t>
    </r>
    <r>
      <rPr>
        <b/>
        <sz val="11"/>
        <color indexed="8"/>
        <rFont val="Garamond"/>
        <family val="1"/>
      </rPr>
      <t>)</t>
    </r>
  </si>
  <si>
    <t>Demat Securities Traded (Lakh)</t>
  </si>
  <si>
    <r>
      <t>Demat Turnover (</t>
    </r>
    <r>
      <rPr>
        <b/>
        <sz val="11"/>
        <color indexed="8"/>
        <rFont val="Rupee Foradian"/>
        <family val="2"/>
      </rPr>
      <t xml:space="preserve">` </t>
    </r>
    <r>
      <rPr>
        <b/>
        <sz val="11"/>
        <color indexed="8"/>
        <rFont val="Garamond"/>
        <family val="1"/>
      </rPr>
      <t>crore)</t>
    </r>
  </si>
  <si>
    <r>
      <t>Market  Capitalisation (</t>
    </r>
    <r>
      <rPr>
        <b/>
        <sz val="11"/>
        <color indexed="8"/>
        <rFont val="Rupee Foradian"/>
        <family val="2"/>
      </rPr>
      <t>`</t>
    </r>
    <r>
      <rPr>
        <b/>
        <sz val="11"/>
        <color indexed="8"/>
        <rFont val="Garamond"/>
        <family val="1"/>
      </rPr>
      <t xml:space="preserve"> crore) </t>
    </r>
  </si>
  <si>
    <t xml:space="preserve">S&amp;P BSE Sensex </t>
  </si>
  <si>
    <t>High</t>
  </si>
  <si>
    <t>Low</t>
  </si>
  <si>
    <t>Close</t>
  </si>
  <si>
    <t>Note : No. of Companies Listed with BSE includes count of both active and suspended companies.</t>
  </si>
  <si>
    <t>No.of trades and turnover details inclusive of exchange traded corporate bonds</t>
  </si>
  <si>
    <t>Source: BSE</t>
  </si>
  <si>
    <t xml:space="preserve">Table 18: Trends in Cash Segment of NSE </t>
  </si>
  <si>
    <t>No. of companies Traded#</t>
  </si>
  <si>
    <r>
      <t>Turnover (</t>
    </r>
    <r>
      <rPr>
        <b/>
        <sz val="11"/>
        <color indexed="8"/>
        <rFont val="Rupee Foradian"/>
        <family val="2"/>
      </rPr>
      <t>`</t>
    </r>
    <r>
      <rPr>
        <b/>
        <sz val="11"/>
        <color indexed="8"/>
        <rFont val="Garamond"/>
        <family val="1"/>
      </rPr>
      <t xml:space="preserve"> crore)</t>
    </r>
  </si>
  <si>
    <r>
      <t>Demat Turnover (</t>
    </r>
    <r>
      <rPr>
        <b/>
        <sz val="11"/>
        <color indexed="8"/>
        <rFont val="Rupee Foradian"/>
        <family val="2"/>
      </rPr>
      <t>`</t>
    </r>
    <r>
      <rPr>
        <b/>
        <sz val="11"/>
        <color indexed="8"/>
        <rFont val="Garamond"/>
        <family val="1"/>
      </rPr>
      <t xml:space="preserve"> crore)</t>
    </r>
  </si>
  <si>
    <t xml:space="preserve">Nifty 50 Index </t>
  </si>
  <si>
    <t>Turnover Data compiled for all markets except auction market</t>
  </si>
  <si>
    <t>#Data for No. of companies traded includes Government securities, Corporate bonds, REITs, InvITs, NSE listed companies as well as “Permitted to Trade” companies but excludes ETFs &amp; Mutual Funds</t>
  </si>
  <si>
    <t>Source: NSE</t>
  </si>
  <si>
    <t>No. of Companies Permitted #</t>
  </si>
  <si>
    <t>No. of Companies Traded</t>
  </si>
  <si>
    <t>Turnover (₹ crore)</t>
  </si>
  <si>
    <t>Average Daily Turnover (₹ crore)</t>
  </si>
  <si>
    <t>Demat Turnover (₹ crore)</t>
  </si>
  <si>
    <t xml:space="preserve">Market  Capitalisation (₹ crore) </t>
  </si>
  <si>
    <t xml:space="preserve">SX 40 Index </t>
  </si>
  <si>
    <t>Note: Data of the Market Capitalisation is provided for all listed as well as permitted companies</t>
  </si>
  <si>
    <t># Details of no. of companies in "permitted to trade" category which are active.</t>
  </si>
  <si>
    <t>Source: MSEI</t>
  </si>
  <si>
    <t>Table 20: City-wise Distribution of Turnover on Cash Segments of BSE and NSE</t>
  </si>
  <si>
    <t>(Percentage share in Turnover)</t>
  </si>
  <si>
    <t>S.No</t>
  </si>
  <si>
    <t>City</t>
  </si>
  <si>
    <t>Ahmedabad</t>
  </si>
  <si>
    <t>Bengaluru</t>
  </si>
  <si>
    <t>Vadodara</t>
  </si>
  <si>
    <t>Bhubneshwar</t>
  </si>
  <si>
    <t>Chennai</t>
  </si>
  <si>
    <t>Ernakulam</t>
  </si>
  <si>
    <t>Coimbatore</t>
  </si>
  <si>
    <t>New Delhi</t>
  </si>
  <si>
    <t>Guwahati</t>
  </si>
  <si>
    <t>Hyderabad</t>
  </si>
  <si>
    <t>Indore</t>
  </si>
  <si>
    <t>Jaipur</t>
  </si>
  <si>
    <t>Kanpur</t>
  </si>
  <si>
    <t>Kolkata</t>
  </si>
  <si>
    <t>Ludhiana</t>
  </si>
  <si>
    <t>Mangalore</t>
  </si>
  <si>
    <t>Mumbai</t>
  </si>
  <si>
    <t>Patna</t>
  </si>
  <si>
    <t>Pune</t>
  </si>
  <si>
    <t>Rajkot</t>
  </si>
  <si>
    <t>Others</t>
  </si>
  <si>
    <t>Percentage Share in Turnover</t>
  </si>
  <si>
    <t>Proprietary</t>
  </si>
  <si>
    <t>FPIs</t>
  </si>
  <si>
    <t>Banks</t>
  </si>
  <si>
    <t>Source: BSE.</t>
  </si>
  <si>
    <t>Year /Month</t>
  </si>
  <si>
    <t>Source: NSE.</t>
  </si>
  <si>
    <t>Source: MSEI.</t>
  </si>
  <si>
    <t>Name of Security</t>
  </si>
  <si>
    <t>Issued
Capital 
(₹ crore)</t>
  </si>
  <si>
    <t>Free Float
Market
Capitalisation
(₹ crore)</t>
  </si>
  <si>
    <t>Weightage (Percent)</t>
  </si>
  <si>
    <t>Beta</t>
  </si>
  <si>
    <t>R 2</t>
  </si>
  <si>
    <t>Daily
Volatility
(Percent)</t>
  </si>
  <si>
    <t>Monthly
Return
(Percent)</t>
  </si>
  <si>
    <t>Impact
Cost
(Percent)</t>
  </si>
  <si>
    <t xml:space="preserve">BAJFINANCE  </t>
  </si>
  <si>
    <t xml:space="preserve">STATE BANK  </t>
  </si>
  <si>
    <t xml:space="preserve">TITAN       </t>
  </si>
  <si>
    <t xml:space="preserve">HDFC BANK   </t>
  </si>
  <si>
    <t xml:space="preserve">INFOSYS LTD </t>
  </si>
  <si>
    <t>KOTAK MAH.BK</t>
  </si>
  <si>
    <t xml:space="preserve">RELIANCE    </t>
  </si>
  <si>
    <t xml:space="preserve">TATA STEEL  </t>
  </si>
  <si>
    <t>LARSEN &amp; TOU</t>
  </si>
  <si>
    <t xml:space="preserve">MAH &amp; MAH   </t>
  </si>
  <si>
    <t xml:space="preserve">TATA MOTORS </t>
  </si>
  <si>
    <t xml:space="preserve">HIND UNI LT </t>
  </si>
  <si>
    <t xml:space="preserve">NESTLE (I)  </t>
  </si>
  <si>
    <t>ASIAN PAINTS</t>
  </si>
  <si>
    <t xml:space="preserve">ITC LTD.    </t>
  </si>
  <si>
    <t xml:space="preserve">SUN PHARMA. </t>
  </si>
  <si>
    <t xml:space="preserve">ICICI BANK  </t>
  </si>
  <si>
    <t>INDUSIND BNK</t>
  </si>
  <si>
    <t xml:space="preserve">AXIS BANK   </t>
  </si>
  <si>
    <t xml:space="preserve">HCL TECHNO  </t>
  </si>
  <si>
    <t xml:space="preserve">BHARTI ARTL </t>
  </si>
  <si>
    <t xml:space="preserve">MARUTISUZUK </t>
  </si>
  <si>
    <t>ULTRATECH CM</t>
  </si>
  <si>
    <t xml:space="preserve">TCS LTD.    </t>
  </si>
  <si>
    <t xml:space="preserve">NTPC LTD    </t>
  </si>
  <si>
    <t xml:space="preserve">TECH MAH    </t>
  </si>
  <si>
    <t xml:space="preserve">POWER GRID  </t>
  </si>
  <si>
    <t xml:space="preserve">BAJAJ FINSE </t>
  </si>
  <si>
    <t>2. The coefficient of determination (R2) measures the strength of relationship between two variables the return on  a security versus that of the market.</t>
  </si>
  <si>
    <t>3. Volatility is the standard deviation of the daily returns for the trailing 12 months.</t>
  </si>
  <si>
    <t>4. Impact cost is calculated as the difference between actual buy price and ideal buy price, divided by ideal buy price, multiplied by 100. Hence ideal price is calculated as (best buy + best sell)/2.</t>
  </si>
  <si>
    <t>5. The above is calculated for a month for the portfolio size of Rs. 5 lakh.  It is calculated for the current month.</t>
  </si>
  <si>
    <t>Sl. No</t>
  </si>
  <si>
    <t>Adani Enterprises Ltd.</t>
  </si>
  <si>
    <t>Adani Ports and Special Economic Zone Ltd.</t>
  </si>
  <si>
    <t>Apollo Hospitals Enterprise Ltd.</t>
  </si>
  <si>
    <t>Asian Paints Ltd.</t>
  </si>
  <si>
    <t>Axis Bank Ltd.</t>
  </si>
  <si>
    <t>Bajaj Auto Ltd.</t>
  </si>
  <si>
    <t>Bajaj Finance Ltd.</t>
  </si>
  <si>
    <t>Bajaj Finserv Ltd.</t>
  </si>
  <si>
    <t>Bharat Petroleum Corporation Ltd.</t>
  </si>
  <si>
    <t>Bharti Airtel Ltd.</t>
  </si>
  <si>
    <t>Britannia Industries Ltd.</t>
  </si>
  <si>
    <t>Cipla Ltd.</t>
  </si>
  <si>
    <t>Coal India Ltd.</t>
  </si>
  <si>
    <t>Divi's Laboratories Ltd.</t>
  </si>
  <si>
    <t>Dr. Reddy's Laboratories Ltd.</t>
  </si>
  <si>
    <t>Eicher Motors Ltd.</t>
  </si>
  <si>
    <t>Grasim Industries Ltd.</t>
  </si>
  <si>
    <t>HCL Technologies Ltd.</t>
  </si>
  <si>
    <t>HDFC Bank Ltd.</t>
  </si>
  <si>
    <t>HDFC Life Insurance Company Ltd.</t>
  </si>
  <si>
    <t>Hero MotoCorp Ltd.</t>
  </si>
  <si>
    <t>Hindalco Industries Ltd.</t>
  </si>
  <si>
    <t>Hindustan Unilever Ltd.</t>
  </si>
  <si>
    <t>ICICI Bank Ltd.</t>
  </si>
  <si>
    <t>ITC Ltd.</t>
  </si>
  <si>
    <t>IndusInd Bank Ltd.</t>
  </si>
  <si>
    <t>Infosys Ltd.</t>
  </si>
  <si>
    <t>JSW Steel Ltd.</t>
  </si>
  <si>
    <t>Kotak Mahindra Bank Ltd.</t>
  </si>
  <si>
    <t>LTIMindtree Ltd.</t>
  </si>
  <si>
    <t>Larsen &amp; Toubro Ltd.</t>
  </si>
  <si>
    <t>Mahindra &amp; Mahindra Ltd.</t>
  </si>
  <si>
    <t>Maruti Suzuki India Ltd.</t>
  </si>
  <si>
    <t>NTPC Ltd.</t>
  </si>
  <si>
    <t>Nestle India Ltd.</t>
  </si>
  <si>
    <t>Oil &amp; Natural Gas Corporation Ltd.</t>
  </si>
  <si>
    <t>Power Grid Corporation of India Ltd.</t>
  </si>
  <si>
    <t>Reliance Industries Ltd.</t>
  </si>
  <si>
    <t>SBI Life Insurance Company Ltd.</t>
  </si>
  <si>
    <t>State Bank of India</t>
  </si>
  <si>
    <t>Sun Pharmaceutical Industries Ltd.</t>
  </si>
  <si>
    <t>Tata Consultancy Services Ltd.</t>
  </si>
  <si>
    <t>Tata Consumer Products Ltd.</t>
  </si>
  <si>
    <t>Tata Motors Ltd.</t>
  </si>
  <si>
    <t>Tata Steel Ltd.</t>
  </si>
  <si>
    <t>Tech Mahindra Ltd.</t>
  </si>
  <si>
    <t>Titan Company Ltd.</t>
  </si>
  <si>
    <t>UltraTech Cement Ltd.</t>
  </si>
  <si>
    <t>Wipro Ltd.</t>
  </si>
  <si>
    <t>Notes: 1. Beta &amp; R2 are calculated for the the trailing 12 months. Beta measures the  degree to which any portfolio of stocks is affected as compared to the effect on the market as a whole.</t>
  </si>
  <si>
    <t>3. Volatility is the standard deviation of the daily returns for the the trailing 12 months.</t>
  </si>
  <si>
    <t>5. Impact Cost for Nifty 50 is for a portfolio of ₹50 lakh  and is weighted average impact cost.</t>
  </si>
  <si>
    <t>S.No.</t>
  </si>
  <si>
    <t>Issued Capital     (₹ crore)</t>
  </si>
  <si>
    <t>Free Float Market Capitalisation (₹ crore)</t>
  </si>
  <si>
    <t xml:space="preserve">Weightage (Percent)   </t>
  </si>
  <si>
    <t>R2</t>
  </si>
  <si>
    <t>Daily Volatility (Percent)</t>
  </si>
  <si>
    <t>Monthly Return (Percent)</t>
  </si>
  <si>
    <t>Impact Cost (Percent) *</t>
  </si>
  <si>
    <t>HDFCBANK</t>
  </si>
  <si>
    <t>RELIANCE</t>
  </si>
  <si>
    <t>ICICIBANK</t>
  </si>
  <si>
    <t>INFY</t>
  </si>
  <si>
    <t>TCS</t>
  </si>
  <si>
    <t>LT</t>
  </si>
  <si>
    <t>ITC</t>
  </si>
  <si>
    <t>AXISBANK</t>
  </si>
  <si>
    <t>KOTAKBANK</t>
  </si>
  <si>
    <t>SBIN</t>
  </si>
  <si>
    <t>HINDUNILVR</t>
  </si>
  <si>
    <t>BHARTIARTL</t>
  </si>
  <si>
    <t>BAJFINANCE</t>
  </si>
  <si>
    <t>ASIANPAINT</t>
  </si>
  <si>
    <t>M&amp;M</t>
  </si>
  <si>
    <t>MARUTI</t>
  </si>
  <si>
    <t>TITAN</t>
  </si>
  <si>
    <t>SUNPHARMA</t>
  </si>
  <si>
    <t>HCLTECH</t>
  </si>
  <si>
    <t>TATAMOTORS</t>
  </si>
  <si>
    <t>NTPC</t>
  </si>
  <si>
    <t>TATASTEEL</t>
  </si>
  <si>
    <t>ULTRACEMCO</t>
  </si>
  <si>
    <t>DRREDDY</t>
  </si>
  <si>
    <t>INDUSINDBK</t>
  </si>
  <si>
    <t>ADANIENT</t>
  </si>
  <si>
    <t>POWERGRID</t>
  </si>
  <si>
    <t>NESTLEIND</t>
  </si>
  <si>
    <t>JSWSTEEL</t>
  </si>
  <si>
    <t>TECHM</t>
  </si>
  <si>
    <t>WIPRO</t>
  </si>
  <si>
    <t>GRASIM</t>
  </si>
  <si>
    <t>ONGC</t>
  </si>
  <si>
    <t>HINDALCO</t>
  </si>
  <si>
    <t>ADANIPORTS</t>
  </si>
  <si>
    <t>CIPLA</t>
  </si>
  <si>
    <t>1. Market Cap, Beta &amp; R2 as on the last day of the month</t>
  </si>
  <si>
    <t>2. Beta &amp; R2 are calculated for the trailing 12 months</t>
  </si>
  <si>
    <t>3. Volatility for the current month</t>
  </si>
  <si>
    <t>4. *Since there is no trading in the SX40 constituents, the Impact Cost for the given stocks is NIL.</t>
  </si>
  <si>
    <t>Table 27: Advances/Declines in Cash Segment of BSE, NSE and MSEI</t>
  </si>
  <si>
    <t>Advances</t>
  </si>
  <si>
    <t>Declines</t>
  </si>
  <si>
    <t>Advance/Decline Ratio</t>
  </si>
  <si>
    <t xml:space="preserve">Note: Advance/Decline ratio is calculated based on the average price methodology.                                                                           </t>
  </si>
  <si>
    <t>Table 28: Trading Frequency in Cash Segment of BSE, NSE and MSEI</t>
  </si>
  <si>
    <t>Month</t>
  </si>
  <si>
    <t>No. of Companies Listed</t>
  </si>
  <si>
    <t>Percent of Traded to Listed</t>
  </si>
  <si>
    <t>No. of Companies Traded#</t>
  </si>
  <si>
    <t>Table 29: Daily Volatility of Major Indices  (percent)</t>
  </si>
  <si>
    <t>BSE Sensex</t>
  </si>
  <si>
    <t>BSE 100</t>
  </si>
  <si>
    <t>BSE 500</t>
  </si>
  <si>
    <t>Nifty 50</t>
  </si>
  <si>
    <t>Nifty Next 50</t>
  </si>
  <si>
    <t>Nifty 500</t>
  </si>
  <si>
    <t>SX40</t>
  </si>
  <si>
    <t>Note: Volatility is calculated as the standard deviation of the natural log of daily returns in indices for the respective period.</t>
  </si>
  <si>
    <t>Source: BSE, MSEI and NSE.</t>
  </si>
  <si>
    <t>Table 30: Percentage Share of Top ‘N’ Securities/Members in Turnover of Cash Segment  (percent)</t>
  </si>
  <si>
    <t>Top</t>
  </si>
  <si>
    <t>5</t>
  </si>
  <si>
    <t>10</t>
  </si>
  <si>
    <t>25</t>
  </si>
  <si>
    <t>50</t>
  </si>
  <si>
    <t>100</t>
  </si>
  <si>
    <t>Securities</t>
  </si>
  <si>
    <t>Members</t>
  </si>
  <si>
    <t>Notes: 1. Data for Top N scrips has been compiled for all markets except Auction market &amp; Retail Debt Market and includes series EQ, BE,BT, BL and IL.</t>
  </si>
  <si>
    <t>Year /  Month</t>
  </si>
  <si>
    <t>No. of Trades(Lakh)</t>
  </si>
  <si>
    <t>Traded Quantity   (Lakh)</t>
  </si>
  <si>
    <t>Delivered Quantity   (Lakh)</t>
  </si>
  <si>
    <t>Percent of Delivered Quantity to Traded Quantity</t>
  </si>
  <si>
    <t>Delivered Value   (₹ crore)</t>
  </si>
  <si>
    <t>Percent  of Delivered Value to Total Turnover</t>
  </si>
  <si>
    <t>Delivered Quantity in Demat Mode (Lakh)</t>
  </si>
  <si>
    <t>Percent of Demat Delivered Quantity to Total Delivered Quantity</t>
  </si>
  <si>
    <t>Delivered Value in Demat Mode     (₹ crore)</t>
  </si>
  <si>
    <t>Percent of Demat Delivered Value to Total Delivered Value</t>
  </si>
  <si>
    <t>Short Delivery (Auctioned quantity) (Lakh)</t>
  </si>
  <si>
    <t>Percent of Short Delivery to Delivery Quantity</t>
  </si>
  <si>
    <t>Funds Pay-in (₹ crore)</t>
  </si>
  <si>
    <t>Securities Pay-in (₹ crore)</t>
  </si>
  <si>
    <t>Settlement Guarantee Fund (₹ crore)</t>
  </si>
  <si>
    <t>Delivered Value      (₹  crore)</t>
  </si>
  <si>
    <t>Settlement Statistics for settlement type N, excluding CM Series IL &amp; BL</t>
  </si>
  <si>
    <t>Table 33: Settlement Statistics for Cash Segment of MSEI</t>
  </si>
  <si>
    <t>Delivered Value      (₹ crore)</t>
  </si>
  <si>
    <t>Settlement Guarantee Fund(₹ crore)</t>
  </si>
  <si>
    <t>Month/ Year</t>
  </si>
  <si>
    <t>Index Futures</t>
  </si>
  <si>
    <t xml:space="preserve"> Stock Futures</t>
  </si>
  <si>
    <t>Index Options</t>
  </si>
  <si>
    <t>Stock Options</t>
  </si>
  <si>
    <t>Total Turnover</t>
  </si>
  <si>
    <t>Open Interest at the end of the day</t>
  </si>
  <si>
    <t xml:space="preserve">                 Calls</t>
  </si>
  <si>
    <t xml:space="preserve">                 Puts</t>
  </si>
  <si>
    <t>No. of  Contracts</t>
  </si>
  <si>
    <t xml:space="preserve">No. of Contracts </t>
  </si>
  <si>
    <t xml:space="preserve">No. of 
Contracts </t>
  </si>
  <si>
    <t>No. of Contracts</t>
  </si>
  <si>
    <t>No. of contracts</t>
  </si>
  <si>
    <t>Premium</t>
  </si>
  <si>
    <t>Notional</t>
  </si>
  <si>
    <t>2023-24</t>
  </si>
  <si>
    <t xml:space="preserve">Note: </t>
  </si>
  <si>
    <t>Notional turnover is inclusive of the premium turnover</t>
  </si>
  <si>
    <r>
      <t>Value (</t>
    </r>
    <r>
      <rPr>
        <b/>
        <sz val="11"/>
        <rFont val="Rupee Foradian"/>
        <family val="2"/>
      </rPr>
      <t>`</t>
    </r>
    <r>
      <rPr>
        <b/>
        <sz val="11"/>
        <rFont val="Garamond"/>
        <family val="1"/>
      </rPr>
      <t xml:space="preserve"> crore)</t>
    </r>
  </si>
  <si>
    <t>Note:</t>
  </si>
  <si>
    <t>Table 36: Settlement Statistics in Equity Derivatives Segment at BSE and NSE (₹ crore)</t>
  </si>
  <si>
    <t>Year/     Month</t>
  </si>
  <si>
    <t>Index/Stock
Futures</t>
  </si>
  <si>
    <t>Index/Stock
Options</t>
  </si>
  <si>
    <t>Settlement
Gurantee
Fund</t>
  </si>
  <si>
    <t>MTM
Settlement</t>
  </si>
  <si>
    <t>Final
Settlement</t>
  </si>
  <si>
    <t>Physical Settlement</t>
  </si>
  <si>
    <t>Premium
Settlement</t>
  </si>
  <si>
    <t>Exercise
Settlement</t>
  </si>
  <si>
    <t>Percentage Share in Open Interest</t>
  </si>
  <si>
    <t>Pro</t>
  </si>
  <si>
    <t>Turnover Share (in Percentage)</t>
  </si>
  <si>
    <t>BSE 30 SENSEX</t>
  </si>
  <si>
    <t>BSE SENSEX 50</t>
  </si>
  <si>
    <t>BSE BANKEX</t>
  </si>
  <si>
    <t>BSE OIL &amp; GAS INDEX</t>
  </si>
  <si>
    <t>BSE TECK INDEX</t>
  </si>
  <si>
    <t>HANG SENG Index Futures</t>
  </si>
  <si>
    <t>MICEX Index Futures</t>
  </si>
  <si>
    <t>FTSE/JSE Top 40 Futures</t>
  </si>
  <si>
    <t>IBOVESPA Futures</t>
  </si>
  <si>
    <t>NIFTY</t>
  </si>
  <si>
    <t>BANKNIFTY</t>
  </si>
  <si>
    <t>FINNIFTY</t>
  </si>
  <si>
    <t>MIDCPNIFTY</t>
  </si>
  <si>
    <t>Currency Futures</t>
  </si>
  <si>
    <t>Currency  Options</t>
  </si>
  <si>
    <t>Open Interest at the end of  the Month</t>
  </si>
  <si>
    <t>Call</t>
  </si>
  <si>
    <t>Put</t>
  </si>
  <si>
    <t>Value 
(₹ crore)</t>
  </si>
  <si>
    <t>No. of Trading  Days</t>
  </si>
  <si>
    <t>Currency Options</t>
  </si>
  <si>
    <t>Open Interest at the
end of Month</t>
  </si>
  <si>
    <t>No. of
Contracts</t>
  </si>
  <si>
    <t>Turnover
(₹  crore)</t>
  </si>
  <si>
    <t>Value
(₹  crore)</t>
  </si>
  <si>
    <t>Notes: 1. Trading Value :- For Futures, Value of contract = Traded Qty*Traded Price. 2. For Options, Value of contract = Traded Qty*(Strike Price+Traded Premium)</t>
  </si>
  <si>
    <t>Turnover (₹  crore)</t>
  </si>
  <si>
    <t>Turnover
(₹ crore)</t>
  </si>
  <si>
    <t>Table 44: Settlement Statistics of Currency Derivatives Segment (₹ crore)</t>
  </si>
  <si>
    <t>Currency
Futures</t>
  </si>
  <si>
    <t>Table 45: Instrument-wise Turnover in Currency Derivatives Segment of BSE</t>
  </si>
  <si>
    <t>Open Interest as on last day of the month (in lots)</t>
  </si>
  <si>
    <t>USDINR</t>
  </si>
  <si>
    <t>EURINR</t>
  </si>
  <si>
    <t>GBPINR</t>
  </si>
  <si>
    <t>JPYINR</t>
  </si>
  <si>
    <t>EURUSD</t>
  </si>
  <si>
    <t>GBPUSD</t>
  </si>
  <si>
    <t>USDJPY</t>
  </si>
  <si>
    <t>Table 46: Instrument-wise Turnover in Currency Derivatives of NSE</t>
  </si>
  <si>
    <t>Turnover ( ₹  crore)</t>
  </si>
  <si>
    <t>Open Interest as on last day of the month ( in lots)</t>
  </si>
  <si>
    <t>Table 47:  Instrument-wise Turnover in Currency Derivative Segment of MSEI</t>
  </si>
  <si>
    <t>Open Interest as on last day of the month
(in lots)</t>
  </si>
  <si>
    <t>Table 48: Maturity-wise Turnover in Currency Derivative Segment of BSE (₹ crore)</t>
  </si>
  <si>
    <t>Weekly</t>
  </si>
  <si>
    <t>1 Month</t>
  </si>
  <si>
    <t>2 Months</t>
  </si>
  <si>
    <t>3 Months</t>
  </si>
  <si>
    <t>&gt; 3 Months</t>
  </si>
  <si>
    <t>Table 49: Maturity-wise Turnover in Currency Derivative Segment of NSE  (₹ crore)</t>
  </si>
  <si>
    <t xml:space="preserve">2 Months   </t>
  </si>
  <si>
    <t>The weekly contracts for EUR-INR, GBP-INR and JPY-INR futures and options were introduced on December 7, 2020 and the weekly USD-INR futures contracts were launched at NSE from October 11, 2021.</t>
  </si>
  <si>
    <t>Table 50: Maturity-wise Turnover in Currency Derivative Segment of MSEI (₹ crore)</t>
  </si>
  <si>
    <t>Interest Rate Futures</t>
  </si>
  <si>
    <t>Open Interest at
the end of</t>
  </si>
  <si>
    <t>Interest RateFutures</t>
  </si>
  <si>
    <t xml:space="preserve">Open Interest at the end of </t>
  </si>
  <si>
    <t>Traded Value 
(₹ crore)</t>
  </si>
  <si>
    <t>Source: BSE, NSE and MSEI</t>
  </si>
  <si>
    <t>Table 52: Settlement Statistics in Interest Rate Futures at BSE, NSE and MSEI (₹ crore)</t>
  </si>
  <si>
    <t>Physical Delivery Settlement</t>
  </si>
  <si>
    <t>MTM Settlement</t>
  </si>
  <si>
    <t>Source: NSE, BSE and MSEI</t>
  </si>
  <si>
    <t>Table 61: Progress Report of NSDL &amp; CDSL  (Listed Companies)</t>
  </si>
  <si>
    <t>Parameter</t>
  </si>
  <si>
    <t>Unit</t>
  </si>
  <si>
    <t>NSDL (at the end of the period)</t>
  </si>
  <si>
    <t>CDSL (at the end of the period)</t>
  </si>
  <si>
    <t>Number of companies signed up to make their shares available for dematerialization</t>
  </si>
  <si>
    <t>Number</t>
  </si>
  <si>
    <t>Number of Depository Participants (registered)</t>
  </si>
  <si>
    <t>Number of Investors Accounts</t>
  </si>
  <si>
    <t>Lakh</t>
  </si>
  <si>
    <t>Quantity of Shares dematerialized</t>
  </si>
  <si>
    <t>Crore</t>
  </si>
  <si>
    <t>Value of Shares dematerialized</t>
  </si>
  <si>
    <t>₹ Crore</t>
  </si>
  <si>
    <t>Quantity of Securities dematerialized #</t>
  </si>
  <si>
    <t>Value of Securities dematerialized #</t>
  </si>
  <si>
    <t>Quantity of shares settled during the month</t>
  </si>
  <si>
    <t>Value of shares settled during the month in dematerialized form</t>
  </si>
  <si>
    <t>Training Programmes conducted for representatives of Corporates, DPs and Brokers</t>
  </si>
  <si>
    <t>The ratio of dematerialized equity shares to the total outstanding shares market value</t>
  </si>
  <si>
    <t>Percent</t>
  </si>
  <si>
    <t>Notes: 1. Shares includes only equity shares. 2. Securities include common equity shares, preference shares, debenture, MF units, etc.  3. Quantity and value of shares mentioned are single sided. 4. #Source for listed securities information: Issuer/ NSE/BSE.</t>
  </si>
  <si>
    <t>Source: NSDL and CDSL.</t>
  </si>
  <si>
    <t>Number of companies available for dematerialisation</t>
  </si>
  <si>
    <t>Number of Participants</t>
  </si>
  <si>
    <t>DPs
Locations</t>
  </si>
  <si>
    <t>Demat 
Quantity 
(million securities)</t>
  </si>
  <si>
    <t>Demat Value (₹ crore)</t>
  </si>
  <si>
    <t>Demat Value  (₹ crore)</t>
  </si>
  <si>
    <t>Notes : 1.  DPs Locations represents the total service centres.</t>
  </si>
  <si>
    <t>Particulars</t>
  </si>
  <si>
    <t>Equity</t>
  </si>
  <si>
    <t>Unlisted</t>
  </si>
  <si>
    <t>No.of issuers debt/Companies(equity)</t>
  </si>
  <si>
    <t>(numbers)</t>
  </si>
  <si>
    <t>No.of Active Instruments</t>
  </si>
  <si>
    <t>Demat Quantity</t>
  </si>
  <si>
    <t>(lakhs)</t>
  </si>
  <si>
    <t>Demat Value</t>
  </si>
  <si>
    <t>(Rs.Crore)</t>
  </si>
  <si>
    <t>Quantity settled during the month*</t>
  </si>
  <si>
    <t>(Lakh)</t>
  </si>
  <si>
    <t>Value Settled during the month</t>
  </si>
  <si>
    <t>(Rs.Crores)</t>
  </si>
  <si>
    <t>No. of Issuers (Debt) / Companies (Equity)</t>
  </si>
  <si>
    <t>No. of Active Instruments</t>
  </si>
  <si>
    <t>(lakh)</t>
  </si>
  <si>
    <t>(Rs.crore)</t>
  </si>
  <si>
    <t>Quantity settled during the month</t>
  </si>
  <si>
    <t>Note: The categories included in Others are Preference Shares, Mutual Fund Trace Units, IDRs, AIF,Warrants, PTCs, Treasury Bills, Postal Savings Certificate,CPs, CDs and Government Securities. *Quanttity and value settled does not include settlement details of Warehouse receipts/commodities.</t>
  </si>
  <si>
    <t>Energy</t>
  </si>
  <si>
    <t>A. IPOs (Main Board)</t>
  </si>
  <si>
    <t>i) OFS Component</t>
  </si>
  <si>
    <t>ii) Fresh Capital Raising Component</t>
  </si>
  <si>
    <t>B. IPO (SME)</t>
  </si>
  <si>
    <t>C. IPO (Total) [A+B]</t>
  </si>
  <si>
    <t>i) OFS Component (Total)</t>
  </si>
  <si>
    <t>ii) Fresh Capital Raising Component (Total)</t>
  </si>
  <si>
    <t>D. FPO in the Main Board</t>
  </si>
  <si>
    <t xml:space="preserve">E. FPO in the SME Segment </t>
  </si>
  <si>
    <t>F. FPO (Total) [D+E]</t>
  </si>
  <si>
    <t>G. Total Public Issues in equity (C+F)</t>
  </si>
  <si>
    <t>H. Rights Issue</t>
  </si>
  <si>
    <t xml:space="preserve">i)MainBoard Companies </t>
  </si>
  <si>
    <t>ii) SME / IGP Companies</t>
  </si>
  <si>
    <t>I. Preferential Issue</t>
  </si>
  <si>
    <t>J. QIPs/IPPs</t>
  </si>
  <si>
    <t>K. OFS through Exchanges</t>
  </si>
  <si>
    <t>i)Mainboard companies</t>
  </si>
  <si>
    <t>ii)SME/IGP companies</t>
  </si>
  <si>
    <t>Bond Market</t>
  </si>
  <si>
    <t>Business trusts</t>
  </si>
  <si>
    <t>691406.49#</t>
  </si>
  <si>
    <t xml:space="preserve"># The increase in the amount for rated quantum for withdrawals from previous trends is due to merger of Housing Development Finance Corporation Limited (HDFC) and HDFC Bank Limited (HDFC Bank) where the instruments of HDFC were withdrawn post-merger and the same were transferred to HDFC Bank. </t>
  </si>
  <si>
    <t>Average Trade Size (₹)</t>
  </si>
  <si>
    <t xml:space="preserve">JSWSL       </t>
  </si>
  <si>
    <t>Table 34: Trends in Equity Derivatives Segment at BSE</t>
  </si>
  <si>
    <t>Premium*</t>
  </si>
  <si>
    <t>Table 35: Trends in Equity Derivatives Segment at NSE</t>
  </si>
  <si>
    <t>Number of Clearing Corporations (connected)</t>
  </si>
  <si>
    <t>NSE SME IPO</t>
  </si>
  <si>
    <t>*includes futures turnover</t>
  </si>
  <si>
    <t>5. The amount raised through fresh issues and OFS are obtained by multiplying the respective number of shares issued with the issue price.</t>
  </si>
  <si>
    <t>``</t>
  </si>
  <si>
    <t>Average Quantity of shares settled daily (quantity of shares settled during the month divided by actual settlement days)</t>
  </si>
  <si>
    <t>Average Value of shares settled daily (value of shares settled during the month divided by actual settlement days)</t>
  </si>
  <si>
    <t>9.10/10.25</t>
  </si>
  <si>
    <t>Stock Exchanges (Cash Segment)</t>
  </si>
  <si>
    <t>Stock Exchanges (Equity Derivatives Segment)</t>
  </si>
  <si>
    <t>Stock Exchanges (Currency Derivatives Segment)</t>
  </si>
  <si>
    <t>Stock Exchanges (Commodity Derivatives Segment)</t>
  </si>
  <si>
    <t>Foreign Portfolio Investors (FPIs)</t>
  </si>
  <si>
    <t>Custodians</t>
  </si>
  <si>
    <t>Designated Depositories Participants (DDPs)</t>
  </si>
  <si>
    <t>Depositories</t>
  </si>
  <si>
    <t>Merchant Bankers</t>
  </si>
  <si>
    <t>Bankers to an Issue</t>
  </si>
  <si>
    <t>Debenture Trustees</t>
  </si>
  <si>
    <t>Credit Rating Agencies</t>
  </si>
  <si>
    <t>KYC Registration Agencies (KRA)</t>
  </si>
  <si>
    <t>Registrars to an Issue &amp; Share Transfer Agents</t>
  </si>
  <si>
    <t>Venture Capital Funds</t>
  </si>
  <si>
    <t>Foreign Venture Capital Investors</t>
  </si>
  <si>
    <t>Alternative Investment Funds</t>
  </si>
  <si>
    <t>Portfolio Managers</t>
  </si>
  <si>
    <t>Investment Advisors</t>
  </si>
  <si>
    <t>Research Analysts</t>
  </si>
  <si>
    <t>Infrastructure Investment Trusts (InvITs)</t>
  </si>
  <si>
    <t>Real Estate Investment Trusts (REITs)</t>
  </si>
  <si>
    <t>Collective Investment Schemes</t>
  </si>
  <si>
    <t>Approved Intermediaries (Stock Lending Schemes)</t>
  </si>
  <si>
    <t>STP (Centralised Hub)</t>
  </si>
  <si>
    <t>STP Service Providers</t>
  </si>
  <si>
    <t>Source: SEBI, NSDL, CDSL.</t>
  </si>
  <si>
    <t>Public issues</t>
  </si>
  <si>
    <t>Table 5: Consolidated Resource Mobilisation through Primary markets</t>
  </si>
  <si>
    <t>FPOs</t>
  </si>
  <si>
    <t>IPOs (SME issues)</t>
  </si>
  <si>
    <t>IPOs (Mainboard)</t>
  </si>
  <si>
    <t>IPOs (Total)</t>
  </si>
  <si>
    <t>Table 5: Consolidated Resource Mobilisation through Primary Market</t>
  </si>
  <si>
    <t>Table 6: Capital Raised from the Primary Market through Public and Rights Issues (Equity and Debt)</t>
  </si>
  <si>
    <t xml:space="preserve">L. Total Equity raised </t>
  </si>
  <si>
    <t>M. Fund mobilized through Private Placement in Corporate Bond Market (CBM)</t>
  </si>
  <si>
    <t>N. Fund mobilized through public issue in CBM</t>
  </si>
  <si>
    <t>P. Total funds mobilized by REITs</t>
  </si>
  <si>
    <t>Q. Total fund mobilized by InvITs</t>
  </si>
  <si>
    <t>3. The data in Table 5 is segregated into Financial and Non Financial Sector.</t>
  </si>
  <si>
    <t>4. Since, some issue have components of both fresh issues as well as OFS, the number of issues with fresh issues and OFS is not given</t>
  </si>
  <si>
    <t>R. Total fund mobilized by REITs &amp; InvITs (P+Q)</t>
  </si>
  <si>
    <t>O. Total fund Mobilized in CBM (M+N)</t>
  </si>
  <si>
    <t>i) OFS Component (Total) G(i)+K</t>
  </si>
  <si>
    <t>ii) Fresh Capital Raising Component (Total) G(ii)+H+I+J</t>
  </si>
  <si>
    <t>II. Gross Saving as a per cent of Gross National Disposable Income at current market prices in 2022-23*</t>
  </si>
  <si>
    <t>* Second Advance Estimates (2023-24) as per MOSPI press release dated February 29, 2024</t>
  </si>
  <si>
    <t>Table 4: Trends in Offers closed under SEBI (Substantial Acquisition of Shares and Takeover) Regulations, 2011</t>
  </si>
  <si>
    <t>1. Data includes funds raised through public issue, private placement, preferential issue, institutional placement, rights issue</t>
  </si>
  <si>
    <t>2. IPOs are classified based on listing date and public debt issues on the basis of closing date of the issue.</t>
  </si>
  <si>
    <t>Shriram Finance Ltd.</t>
  </si>
  <si>
    <t>%
Change during the year</t>
  </si>
  <si>
    <t>%
Change during the month</t>
  </si>
  <si>
    <t>ESG Rating Provider (ERP)</t>
  </si>
  <si>
    <t>Table 12: Private Placement of Corporate Debt listed at BSE and NSE</t>
  </si>
  <si>
    <t>2024-25$</t>
  </si>
  <si>
    <t>6. Shriram Finance Ltd replaced UPL Ltd in the benchmark Nifty50 index, effective from March 28</t>
  </si>
  <si>
    <t>0</t>
  </si>
  <si>
    <t>Macro Economic Sector</t>
  </si>
  <si>
    <t>Sector</t>
  </si>
  <si>
    <r>
      <rPr>
        <sz val="8"/>
        <rFont val="Garamond"/>
        <family val="1"/>
      </rPr>
      <t>Chemicals &amp; Petrochemicals</t>
    </r>
  </si>
  <si>
    <r>
      <rPr>
        <sz val="8"/>
        <rFont val="Garamond"/>
        <family val="1"/>
      </rPr>
      <t>Fertilizers &amp; Agrochemicals</t>
    </r>
  </si>
  <si>
    <r>
      <rPr>
        <sz val="8"/>
        <rFont val="Garamond"/>
        <family val="1"/>
      </rPr>
      <t>Cement &amp; Cement Products</t>
    </r>
  </si>
  <si>
    <r>
      <rPr>
        <sz val="8"/>
        <rFont val="Garamond"/>
        <family val="1"/>
      </rPr>
      <t>Other Construction Materials</t>
    </r>
  </si>
  <si>
    <r>
      <rPr>
        <sz val="8"/>
        <rFont val="Garamond"/>
        <family val="1"/>
      </rPr>
      <t>Ferrous Metals</t>
    </r>
  </si>
  <si>
    <r>
      <rPr>
        <sz val="8"/>
        <rFont val="Garamond"/>
        <family val="1"/>
      </rPr>
      <t>Non - Ferrous Metals</t>
    </r>
  </si>
  <si>
    <r>
      <rPr>
        <sz val="8"/>
        <rFont val="Garamond"/>
        <family val="1"/>
      </rPr>
      <t>Diversified Metals</t>
    </r>
  </si>
  <si>
    <r>
      <rPr>
        <sz val="8"/>
        <rFont val="Garamond"/>
        <family val="1"/>
      </rPr>
      <t>Minerals &amp; Mining</t>
    </r>
  </si>
  <si>
    <r>
      <rPr>
        <sz val="8"/>
        <rFont val="Garamond"/>
        <family val="1"/>
      </rPr>
      <t>Metals &amp; Minerals Trading</t>
    </r>
  </si>
  <si>
    <r>
      <rPr>
        <sz val="8"/>
        <rFont val="Garamond"/>
        <family val="1"/>
      </rPr>
      <t>Paper, Forest &amp; Jute Products</t>
    </r>
  </si>
  <si>
    <r>
      <rPr>
        <sz val="8"/>
        <rFont val="Garamond"/>
        <family val="1"/>
      </rPr>
      <t>Automobiles</t>
    </r>
  </si>
  <si>
    <r>
      <rPr>
        <sz val="8"/>
        <rFont val="Garamond"/>
        <family val="1"/>
      </rPr>
      <t>Auto Components</t>
    </r>
  </si>
  <si>
    <r>
      <rPr>
        <sz val="8"/>
        <rFont val="Garamond"/>
        <family val="1"/>
      </rPr>
      <t>Consumer Durables</t>
    </r>
  </si>
  <si>
    <r>
      <rPr>
        <sz val="8"/>
        <rFont val="Garamond"/>
        <family val="1"/>
      </rPr>
      <t>Textiles &amp; Apparels</t>
    </r>
  </si>
  <si>
    <r>
      <rPr>
        <sz val="8"/>
        <rFont val="Garamond"/>
        <family val="1"/>
      </rPr>
      <t>Media</t>
    </r>
  </si>
  <si>
    <r>
      <rPr>
        <sz val="8"/>
        <rFont val="Garamond"/>
        <family val="1"/>
      </rPr>
      <t>Entertainment</t>
    </r>
  </si>
  <si>
    <r>
      <rPr>
        <sz val="8"/>
        <rFont val="Garamond"/>
        <family val="1"/>
      </rPr>
      <t>Printing &amp; Publication</t>
    </r>
  </si>
  <si>
    <r>
      <rPr>
        <sz val="8"/>
        <rFont val="Garamond"/>
        <family val="1"/>
      </rPr>
      <t>Realty</t>
    </r>
  </si>
  <si>
    <r>
      <rPr>
        <sz val="8"/>
        <rFont val="Garamond"/>
        <family val="1"/>
      </rPr>
      <t>Leisure Services</t>
    </r>
  </si>
  <si>
    <r>
      <rPr>
        <sz val="8"/>
        <rFont val="Garamond"/>
        <family val="1"/>
      </rPr>
      <t>Other Consumer Services</t>
    </r>
  </si>
  <si>
    <r>
      <rPr>
        <sz val="8"/>
        <rFont val="Garamond"/>
        <family val="1"/>
      </rPr>
      <t>Retailing</t>
    </r>
  </si>
  <si>
    <r>
      <rPr>
        <sz val="8"/>
        <rFont val="Garamond"/>
        <family val="1"/>
      </rPr>
      <t>Gas</t>
    </r>
  </si>
  <si>
    <r>
      <rPr>
        <sz val="8"/>
        <rFont val="Garamond"/>
        <family val="1"/>
      </rPr>
      <t>Oil</t>
    </r>
  </si>
  <si>
    <r>
      <rPr>
        <sz val="8"/>
        <rFont val="Garamond"/>
        <family val="1"/>
      </rPr>
      <t>Petroleum Products</t>
    </r>
  </si>
  <si>
    <r>
      <rPr>
        <sz val="8"/>
        <rFont val="Garamond"/>
        <family val="1"/>
      </rPr>
      <t>Consumable Fuels</t>
    </r>
  </si>
  <si>
    <r>
      <rPr>
        <sz val="8"/>
        <rFont val="Garamond"/>
        <family val="1"/>
      </rPr>
      <t>Agricultural Food &amp; other Products</t>
    </r>
  </si>
  <si>
    <r>
      <rPr>
        <sz val="8"/>
        <rFont val="Garamond"/>
        <family val="1"/>
      </rPr>
      <t>Beverages</t>
    </r>
  </si>
  <si>
    <r>
      <rPr>
        <sz val="8"/>
        <rFont val="Garamond"/>
        <family val="1"/>
      </rPr>
      <t>Cigarettes &amp; Tobacco Products</t>
    </r>
  </si>
  <si>
    <r>
      <rPr>
        <sz val="8"/>
        <rFont val="Garamond"/>
        <family val="1"/>
      </rPr>
      <t>Food Products</t>
    </r>
  </si>
  <si>
    <r>
      <rPr>
        <sz val="8"/>
        <rFont val="Garamond"/>
        <family val="1"/>
      </rPr>
      <t>Personal Products</t>
    </r>
  </si>
  <si>
    <r>
      <rPr>
        <sz val="8"/>
        <rFont val="Garamond"/>
        <family val="1"/>
      </rPr>
      <t>Household Products</t>
    </r>
  </si>
  <si>
    <r>
      <rPr>
        <sz val="8"/>
        <rFont val="Garamond"/>
        <family val="1"/>
      </rPr>
      <t>Diversified FMCG</t>
    </r>
  </si>
  <si>
    <r>
      <rPr>
        <sz val="8"/>
        <rFont val="Garamond"/>
        <family val="1"/>
      </rPr>
      <t>Finance</t>
    </r>
  </si>
  <si>
    <r>
      <rPr>
        <sz val="8"/>
        <rFont val="Garamond"/>
        <family val="1"/>
      </rPr>
      <t>Banks</t>
    </r>
  </si>
  <si>
    <r>
      <rPr>
        <sz val="8"/>
        <rFont val="Garamond"/>
        <family val="1"/>
      </rPr>
      <t>Capital Markets</t>
    </r>
  </si>
  <si>
    <r>
      <rPr>
        <sz val="8"/>
        <rFont val="Garamond"/>
        <family val="1"/>
      </rPr>
      <t>Insurance</t>
    </r>
  </si>
  <si>
    <r>
      <rPr>
        <sz val="8"/>
        <rFont val="Garamond"/>
        <family val="1"/>
      </rPr>
      <t>Financial Technology (Fintech)</t>
    </r>
  </si>
  <si>
    <r>
      <rPr>
        <sz val="8"/>
        <rFont val="Garamond"/>
        <family val="1"/>
      </rPr>
      <t>Pharmaceuticals &amp; Biotechnology</t>
    </r>
  </si>
  <si>
    <r>
      <rPr>
        <sz val="8"/>
        <rFont val="Garamond"/>
        <family val="1"/>
      </rPr>
      <t>Healthcare Equipment &amp; Supplies</t>
    </r>
  </si>
  <si>
    <r>
      <rPr>
        <sz val="8"/>
        <rFont val="Garamond"/>
        <family val="1"/>
      </rPr>
      <t>Healthcare Services</t>
    </r>
  </si>
  <si>
    <r>
      <rPr>
        <sz val="8"/>
        <rFont val="Garamond"/>
        <family val="1"/>
      </rPr>
      <t>Construction</t>
    </r>
  </si>
  <si>
    <r>
      <rPr>
        <sz val="8"/>
        <rFont val="Garamond"/>
        <family val="1"/>
      </rPr>
      <t>Aerospace &amp; Defense</t>
    </r>
  </si>
  <si>
    <r>
      <rPr>
        <sz val="8"/>
        <rFont val="Garamond"/>
        <family val="1"/>
      </rPr>
      <t>Agricultural, Commercial
&amp; Construction Vehicles</t>
    </r>
  </si>
  <si>
    <r>
      <rPr>
        <sz val="8"/>
        <rFont val="Garamond"/>
        <family val="1"/>
      </rPr>
      <t>Electrical Equipment</t>
    </r>
  </si>
  <si>
    <r>
      <rPr>
        <sz val="8"/>
        <rFont val="Garamond"/>
        <family val="1"/>
      </rPr>
      <t>Industrial Manufacturing</t>
    </r>
  </si>
  <si>
    <r>
      <rPr>
        <sz val="8"/>
        <rFont val="Garamond"/>
        <family val="1"/>
      </rPr>
      <t>Industrial Products</t>
    </r>
  </si>
  <si>
    <r>
      <rPr>
        <sz val="8"/>
        <rFont val="Garamond"/>
        <family val="1"/>
      </rPr>
      <t>IT - Software</t>
    </r>
  </si>
  <si>
    <r>
      <rPr>
        <sz val="8"/>
        <rFont val="Garamond"/>
        <family val="1"/>
      </rPr>
      <t>IT - Services</t>
    </r>
  </si>
  <si>
    <r>
      <rPr>
        <sz val="8"/>
        <rFont val="Garamond"/>
        <family val="1"/>
      </rPr>
      <t>IT - Hardware</t>
    </r>
  </si>
  <si>
    <r>
      <rPr>
        <sz val="8"/>
        <rFont val="Garamond"/>
        <family val="1"/>
      </rPr>
      <t>Engineering Services</t>
    </r>
  </si>
  <si>
    <r>
      <rPr>
        <sz val="8"/>
        <rFont val="Garamond"/>
        <family val="1"/>
      </rPr>
      <t>Transport Services</t>
    </r>
  </si>
  <si>
    <r>
      <rPr>
        <sz val="8"/>
        <rFont val="Garamond"/>
        <family val="1"/>
      </rPr>
      <t>Transport Infrastructure</t>
    </r>
  </si>
  <si>
    <r>
      <rPr>
        <sz val="8"/>
        <rFont val="Garamond"/>
        <family val="1"/>
      </rPr>
      <t>Commercial Services &amp; Supplies</t>
    </r>
  </si>
  <si>
    <r>
      <rPr>
        <sz val="8"/>
        <rFont val="Garamond"/>
        <family val="1"/>
      </rPr>
      <t>Public Services</t>
    </r>
  </si>
  <si>
    <r>
      <rPr>
        <sz val="8"/>
        <rFont val="Garamond"/>
        <family val="1"/>
      </rPr>
      <t>Telecom - Services</t>
    </r>
  </si>
  <si>
    <r>
      <rPr>
        <sz val="8"/>
        <rFont val="Garamond"/>
        <family val="1"/>
      </rPr>
      <t>Telecom -  Equipment &amp; Accessories</t>
    </r>
  </si>
  <si>
    <r>
      <rPr>
        <sz val="8"/>
        <rFont val="Garamond"/>
        <family val="1"/>
      </rPr>
      <t>Power</t>
    </r>
  </si>
  <si>
    <r>
      <rPr>
        <sz val="8"/>
        <rFont val="Garamond"/>
        <family val="1"/>
      </rPr>
      <t>Other Utilities</t>
    </r>
  </si>
  <si>
    <r>
      <rPr>
        <sz val="8"/>
        <rFont val="Garamond"/>
        <family val="1"/>
      </rPr>
      <t>Diversified</t>
    </r>
  </si>
  <si>
    <t>Commodities</t>
  </si>
  <si>
    <t>Chemicals</t>
  </si>
  <si>
    <t>Construction Materials</t>
  </si>
  <si>
    <t>Metals &amp; Mining</t>
  </si>
  <si>
    <t>Forest Materials</t>
  </si>
  <si>
    <t>Consumer Discretionary</t>
  </si>
  <si>
    <t>Automobile and Auto Components</t>
  </si>
  <si>
    <t>Consumer Durables</t>
  </si>
  <si>
    <t>Textiles</t>
  </si>
  <si>
    <t>Media, Entertainment &amp; Publication</t>
  </si>
  <si>
    <t>Realty</t>
  </si>
  <si>
    <t>Oil, Gas &amp; Consumable Fuels</t>
  </si>
  <si>
    <t>Fast Moving Consumer Goods</t>
  </si>
  <si>
    <t>Financial Services</t>
  </si>
  <si>
    <t>Industrials</t>
  </si>
  <si>
    <t>Construction</t>
  </si>
  <si>
    <t>Capital Goods</t>
  </si>
  <si>
    <t>Information Technology</t>
  </si>
  <si>
    <t>Services</t>
  </si>
  <si>
    <t>Telecommunication</t>
  </si>
  <si>
    <t>Utilities</t>
  </si>
  <si>
    <t>Diversified</t>
  </si>
  <si>
    <t>Note: The industrial classification is based on SEBI 4 tier industry classification</t>
  </si>
  <si>
    <t xml:space="preserve">Notes: 
</t>
  </si>
  <si>
    <t>1. Equity data on IPO issues are categorised based on the listing date .</t>
  </si>
  <si>
    <t>2. Debt issues are classified based on closing date of the issue</t>
  </si>
  <si>
    <t>NA - Not Available - In view of interoperability of the clearing corporations, this data will be available with the Clearing Corporations</t>
  </si>
  <si>
    <t>III.Gross Fixed Capital Formation as a per cent of GDP in FY 2023-24$</t>
  </si>
  <si>
    <t>#Quartely Estimates as per MOSPI press release dated May 31, 2024</t>
  </si>
  <si>
    <t>$ Provisional Estimates of Annual GDP (2023-24) as per MOSPI press release dated May 31, 2024</t>
  </si>
  <si>
    <t>2024-25#</t>
  </si>
  <si>
    <t>Note: Data in the table may include ratings of a single company from multiple credit rating agencies across rating categories.</t>
  </si>
  <si>
    <t xml:space="preserve">Table 6: Capital Raised from the Primary Market through Public and Rights Issues </t>
  </si>
  <si>
    <t>9.10/10.40</t>
  </si>
  <si>
    <t>6.00/7.30</t>
  </si>
  <si>
    <t xml:space="preserve">ADANI PORTS </t>
  </si>
  <si>
    <t>1. Beta &amp; R2 are calculated for the trailing 12 months .Beta measures the  degree to which any portfolio of stocks is affected as compared to the effect on the market as a whole.</t>
  </si>
  <si>
    <t>Note: Revised data is at clearing member level on net basis</t>
  </si>
  <si>
    <t>Aprameya Engineering Limited</t>
  </si>
  <si>
    <t>Trom Industries Limited</t>
  </si>
  <si>
    <t>Esprit Stones Limited</t>
  </si>
  <si>
    <t>S A Tech Software India Limited</t>
  </si>
  <si>
    <t>Ashapura Logistics Limited</t>
  </si>
  <si>
    <t>Bulkcorp International Limited</t>
  </si>
  <si>
    <t>Rajputana Industries Limited</t>
  </si>
  <si>
    <t>Sathlokhar Synergys E&amp;C Global Limited</t>
  </si>
  <si>
    <t>Kizi Apparels Limited</t>
  </si>
  <si>
    <t>BSE SME IPO</t>
  </si>
  <si>
    <t>Ceigall India Limited</t>
  </si>
  <si>
    <t>Dhariwalcorp Limited</t>
  </si>
  <si>
    <t>Ola Electric Mobility Limited</t>
  </si>
  <si>
    <t>Picturepost Studios Limited</t>
  </si>
  <si>
    <t>Bhandari Hosiery Exports Ltd.</t>
  </si>
  <si>
    <t>Nandani Creation Limited</t>
  </si>
  <si>
    <t>Afcom Holdings Limited</t>
  </si>
  <si>
    <t>Brainbees Solutions Limited</t>
  </si>
  <si>
    <t>Unicommerce Esolutions Limited</t>
  </si>
  <si>
    <t>Aesthetik Engineers Limited</t>
  </si>
  <si>
    <t>Saraswati Saree Depot Limited</t>
  </si>
  <si>
    <t>Positron Energy Limited</t>
  </si>
  <si>
    <t>Sunlite Recycling Industries Limited</t>
  </si>
  <si>
    <t>Solve Plastic Products Limited</t>
  </si>
  <si>
    <t>Suraj Industries Limited.</t>
  </si>
  <si>
    <t>Sharat Industries Ltd.</t>
  </si>
  <si>
    <t>Indowind Energy Ltd.</t>
  </si>
  <si>
    <t>Brace Port Logistics Limited</t>
  </si>
  <si>
    <t>Forcas Studio Limited</t>
  </si>
  <si>
    <t>Interarch Building Products Limited</t>
  </si>
  <si>
    <t>Lesha Industries Limited</t>
  </si>
  <si>
    <t>Ideal Technoplast Industries Limited</t>
  </si>
  <si>
    <t>Orient Technologies Limited</t>
  </si>
  <si>
    <t>Resourceful Automobile Limited</t>
  </si>
  <si>
    <t>Akums Drugs And Pharmaceuticals Limited</t>
  </si>
  <si>
    <t>Utssav Cz Gold Jewels Limited</t>
  </si>
  <si>
    <t>Mitcon Consultancy &amp; Engineering Services Limited</t>
  </si>
  <si>
    <t>Spright Agro Limited</t>
  </si>
  <si>
    <t>Broach Lifecare Hospital Limited</t>
  </si>
  <si>
    <t>Qvc Exports Limited</t>
  </si>
  <si>
    <t>Tata Consumer Products Limited</t>
  </si>
  <si>
    <t>Inventure Growth &amp; Securities Limited</t>
  </si>
  <si>
    <t>Rapid Multimodal Logistics Limited</t>
  </si>
  <si>
    <t>Small and Medium REITs</t>
  </si>
  <si>
    <t>Mr. Chirag Deepak Dedhia (“Acquirer 1”), Mr. Arvind Awadhnath Sharma (“Acquirer 2”) Mrs. Manisha Arvind Sharma (“Acquirer 3”)</t>
  </si>
  <si>
    <t>Sindu Valley Technologies Limited</t>
  </si>
  <si>
    <t>Mr. Pradyumna Jajodia,Mr. Padmanabh Jajodia, Mr. Devang Jajodia</t>
  </si>
  <si>
    <t>Lynx Machinery and Commercials Limited</t>
  </si>
  <si>
    <t xml:space="preserve">Mr. Karbhari Pandurang Dhatrak, Mrs. Jayashree Karbhari Dhatrak and Mr. Chetan Karbhari Dhatrak </t>
  </si>
  <si>
    <t>Inertia Steel Limited</t>
  </si>
  <si>
    <t>Mr. Shailesh
Miyanbazaz</t>
  </si>
  <si>
    <t>Sueryaa Knitwear Ltd.</t>
  </si>
  <si>
    <t>M V S Prasad Reddy</t>
  </si>
  <si>
    <t xml:space="preserve">Oxygenta Pharmaceutical Limited </t>
  </si>
  <si>
    <t>Triveni Engineering and Industries Ltd.</t>
  </si>
  <si>
    <t>Sir Shadi Lal Enterprises Ltd.</t>
  </si>
  <si>
    <t>Raymond Simkins, Milan Dalal and Borgos Multitrade LLP</t>
  </si>
  <si>
    <t>Dev Sethi and DYS Royals Pvt. Ltd.</t>
  </si>
  <si>
    <t>Saanvi Advisors Limited</t>
  </si>
  <si>
    <t>BSE/ICCL [Trades executed on OTC+RFQ+anonymous platforms and settled through ICCL]</t>
  </si>
  <si>
    <t>NSE/NSCCL [Trades executed on OTC+RFQ+anonymous platforms and settled through NSCCL]</t>
  </si>
  <si>
    <t>MCX-SX/MSE Clearing</t>
  </si>
  <si>
    <t>Off Market Settled Trades</t>
  </si>
  <si>
    <t>Total Trades Settled</t>
  </si>
  <si>
    <t>Listed Corporate Bonds</t>
  </si>
  <si>
    <t>Unlisted Corporate Bonds</t>
  </si>
  <si>
    <t>No. of Trades Settled</t>
  </si>
  <si>
    <t>Source: ICCL, NSCCL, MSE Clearing, NSDL and CDSL.</t>
  </si>
  <si>
    <t>Table 16: Distribution of Turnover on Cash Segments of Stock Exchanges (₹ crore)</t>
  </si>
  <si>
    <t>Table 24: Component Stocks: S&amp;P BSE Sensex during August, 2024</t>
  </si>
  <si>
    <t>Table 25: Component Stocks: Nifty 50 Index during August, 2024</t>
  </si>
  <si>
    <t>Table 26: Component Stocks: SX40 Index during August, 2024</t>
  </si>
  <si>
    <t>BAJAJ-AUTO</t>
  </si>
  <si>
    <t>COALINDIA</t>
  </si>
  <si>
    <t>JIOFIN</t>
  </si>
  <si>
    <t>TRENT</t>
  </si>
  <si>
    <t>Table 31: Settlement Statistics for Cash Segment of ICCL</t>
  </si>
  <si>
    <t>Source: ICCL</t>
  </si>
  <si>
    <t>Table 32: Settlement Statistics for Cash Segment of NSCCL</t>
  </si>
  <si>
    <t>Source: NSCCL</t>
  </si>
  <si>
    <t>41 </t>
  </si>
  <si>
    <t>Gross Purchase 
(₹ crore)</t>
  </si>
  <si>
    <t>Gross Sales 
(₹ crore)</t>
  </si>
  <si>
    <t>Net Investment (₹ crore)</t>
  </si>
  <si>
    <t>Net Investment (US $ mn.)</t>
  </si>
  <si>
    <t>Cumulative Net Investment (US $ mn.)</t>
  </si>
  <si>
    <t>Source: NSDL, CDSL</t>
  </si>
  <si>
    <t>Table 54: Notional Value of Offshore Derivative Instruments (ODIs) compared to Assets Under Custody (AUC) of FPIs (₹ crore)</t>
  </si>
  <si>
    <t>Notional value of ODIs on Equity, Debt , Hybrid securities &amp; Derivatives (₹ crore)</t>
  </si>
  <si>
    <t>Notional value of ODIs on Equity, Debt , Hybrid securities excluding Derivatives (₹ crore)</t>
  </si>
  <si>
    <t>Assets Under Custody of FPIs (₹ crore)</t>
  </si>
  <si>
    <t xml:space="preserve"> Notional value of ODIs on Equity, Debt &amp; Hybrid securities including Derivatives as % of  Assets Under Custody of FPIs</t>
  </si>
  <si>
    <t>Notional value of ODIs on Equity, Debt and Hybrid securities excluding Derivatives as % of  Assets Under Custody of FPIs</t>
  </si>
  <si>
    <r>
      <t>Notes: 
1. Figures are compiled based on reports submitted by FPIs/deemed FPIs issuing ODIs. 
2</t>
    </r>
    <r>
      <rPr>
        <sz val="10"/>
        <color indexed="10"/>
        <rFont val="Garamond"/>
        <family val="1"/>
      </rPr>
      <t xml:space="preserve">. </t>
    </r>
    <r>
      <rPr>
        <sz val="10"/>
        <color indexed="8"/>
        <rFont val="Garamond"/>
        <family val="1"/>
      </rPr>
      <t>AUC Figures are compiled on the basis of reports submitted by custodians &amp; does not includes positions taken by FPIs in derivatives. 
3. The total value of ODIs excludes the unhedged positions &amp; portfolio hedging positions taken by the FPIs issuing ODIs.</t>
    </r>
  </si>
  <si>
    <t>Source: NSDL.</t>
  </si>
  <si>
    <t>Client</t>
  </si>
  <si>
    <t xml:space="preserve">FPIs </t>
  </si>
  <si>
    <t>Foreign Depositories</t>
  </si>
  <si>
    <t>FDI</t>
  </si>
  <si>
    <t>FVCI</t>
  </si>
  <si>
    <t>OCBs</t>
  </si>
  <si>
    <t>NRIs</t>
  </si>
  <si>
    <t>Corporates</t>
  </si>
  <si>
    <t>Insurance Companies</t>
  </si>
  <si>
    <t>Local Pension Funds</t>
  </si>
  <si>
    <t>Financial Institutions</t>
  </si>
  <si>
    <t>No.</t>
  </si>
  <si>
    <t xml:space="preserve">Notes:  </t>
  </si>
  <si>
    <t>"Others" include Portfolio managers, partnership firms, trusts, depository receipt issues, AIFs, FCCB, HUFs, Brokers etc.</t>
  </si>
  <si>
    <t>Table 56: Cumulative Sectoral  Investment of Foreign Venture Capital Investors (FVCI) (₹ crore)</t>
  </si>
  <si>
    <t>Sectors of Economy</t>
  </si>
  <si>
    <t>As at the end of</t>
  </si>
  <si>
    <t>Information technology</t>
  </si>
  <si>
    <t>Telecommunications</t>
  </si>
  <si>
    <t>Pharmaceuticals</t>
  </si>
  <si>
    <t>Biotechnology</t>
  </si>
  <si>
    <t>Media/ Entertainment</t>
  </si>
  <si>
    <t>Services Sector</t>
  </si>
  <si>
    <t>Industrial Products</t>
  </si>
  <si>
    <t xml:space="preserve">Source: SEBI </t>
  </si>
  <si>
    <t>Table 57: Trends in Resource Mobilization by Mutual Funds (₹  crore)</t>
  </si>
  <si>
    <t>Gross Mobilisation</t>
  </si>
  <si>
    <t>Redemption/Repurchase</t>
  </si>
  <si>
    <t>Net Inflow/ Outflow</t>
  </si>
  <si>
    <t>Assets at the End of
Period</t>
  </si>
  <si>
    <t>Pvt. Sector</t>
  </si>
  <si>
    <t>Public Sector</t>
  </si>
  <si>
    <t>Net assets of ₹ 80703.92 crores pertaining to Funds of Funds Schemes for June 30, 2024 is not included in the above data.</t>
  </si>
  <si>
    <t>Scheme Category</t>
  </si>
  <si>
    <t>No. of schemes as on March 31, 2024</t>
  </si>
  <si>
    <t>No of Folios as on March 31, 2024</t>
  </si>
  <si>
    <t>Funds mobilized for the period (Since April 01, 2023 to March 31, 2024)  (₹ crore)</t>
  </si>
  <si>
    <t xml:space="preserve">Repurchase/ Redemption for the period (Since April 01, 2023 to March 31, 2024)  (₹ crore) </t>
  </si>
  <si>
    <t>Net Inflow (+ve)/ Outflow (-ve) for the period (Since April 01, 2023 to March 31, 2024)  (₹ crore)</t>
  </si>
  <si>
    <t>Net Assets Under Management as on March 31, 2024</t>
  </si>
  <si>
    <t>A</t>
  </si>
  <si>
    <t>Open ended Schemes</t>
  </si>
  <si>
    <t>I</t>
  </si>
  <si>
    <t>Income/Debt Oriented Schemes</t>
  </si>
  <si>
    <t>Overnight Fund</t>
  </si>
  <si>
    <t>Liquid Fund</t>
  </si>
  <si>
    <t>Ultra Short Duration Fund</t>
  </si>
  <si>
    <t>Low Duration Fund</t>
  </si>
  <si>
    <t>Money Market Fund</t>
  </si>
  <si>
    <t>Short Duration Fund</t>
  </si>
  <si>
    <t>Medium Duration Fund</t>
  </si>
  <si>
    <t>Medium to Long Duration Fund</t>
  </si>
  <si>
    <t>Long Duration Fund</t>
  </si>
  <si>
    <t>Dynamic Bond Fund</t>
  </si>
  <si>
    <t>Corporate Bond Fund</t>
  </si>
  <si>
    <t>Credit Risk Fund</t>
  </si>
  <si>
    <t>Banking and PSU Fund</t>
  </si>
  <si>
    <t>Gilt Fund</t>
  </si>
  <si>
    <t>Gilt Fund with 10 year constant duration</t>
  </si>
  <si>
    <t>Floater Fund</t>
  </si>
  <si>
    <t xml:space="preserve">Sub total - I </t>
  </si>
  <si>
    <t>II</t>
  </si>
  <si>
    <t>Growth/Equity Oriented Schemes</t>
  </si>
  <si>
    <t>Multi Cap Fund</t>
  </si>
  <si>
    <t>Large Cap Fund</t>
  </si>
  <si>
    <t>Large &amp; Mid Cap Fund</t>
  </si>
  <si>
    <t>Mid Cap Fund</t>
  </si>
  <si>
    <t>Small Cap Fund</t>
  </si>
  <si>
    <t>Dividend Yield Fund</t>
  </si>
  <si>
    <t>Value Fund/Contra Fund</t>
  </si>
  <si>
    <t>Focused Fund</t>
  </si>
  <si>
    <t>Sectoral/Thematic Funds</t>
  </si>
  <si>
    <t>ELSS</t>
  </si>
  <si>
    <t>Flexi Cap Fund</t>
  </si>
  <si>
    <t xml:space="preserve">Sub total - II </t>
  </si>
  <si>
    <t>III</t>
  </si>
  <si>
    <t>Hybrid Schemes</t>
  </si>
  <si>
    <t>Conservative Hybrid Fund</t>
  </si>
  <si>
    <t>Balanced Hybrid Fund/Aggressive Hybrid Fund</t>
  </si>
  <si>
    <t>Dynamic Asset Allocation/Balanced Advantage</t>
  </si>
  <si>
    <t>Multi Asset Allocation</t>
  </si>
  <si>
    <t>Arbitrage Fund</t>
  </si>
  <si>
    <t>Equity Savings Fund</t>
  </si>
  <si>
    <t xml:space="preserve">Sub total - III </t>
  </si>
  <si>
    <t>IV</t>
  </si>
  <si>
    <t>Solution Oriented  Schemes</t>
  </si>
  <si>
    <t>Retirement Fund</t>
  </si>
  <si>
    <t>Childrens' Fund</t>
  </si>
  <si>
    <t xml:space="preserve">Sub total - IV </t>
  </si>
  <si>
    <t>V</t>
  </si>
  <si>
    <t>Other Schemes</t>
  </si>
  <si>
    <t>Index Funds</t>
  </si>
  <si>
    <t>GOLD ETFs</t>
  </si>
  <si>
    <t>Other ETFs</t>
  </si>
  <si>
    <t>Fund of funds investing overseas</t>
  </si>
  <si>
    <t xml:space="preserve">Sub total - V </t>
  </si>
  <si>
    <t>Total A-Open ended Schemes</t>
  </si>
  <si>
    <t>B</t>
  </si>
  <si>
    <t>Close  Ended Schemes</t>
  </si>
  <si>
    <t>i</t>
  </si>
  <si>
    <t>Fixed Term Plan</t>
  </si>
  <si>
    <t>ii</t>
  </si>
  <si>
    <t>Capital Protection Oriented  Schemes</t>
  </si>
  <si>
    <t>iii</t>
  </si>
  <si>
    <t xml:space="preserve">Infrastructure Debt Fund </t>
  </si>
  <si>
    <t>iv</t>
  </si>
  <si>
    <t>Other Debt</t>
  </si>
  <si>
    <t>Sub total</t>
  </si>
  <si>
    <t>Total B -Close ended Schemes</t>
  </si>
  <si>
    <t>C</t>
  </si>
  <si>
    <t>Interval Schemes</t>
  </si>
  <si>
    <t>Growth Oriented Schemes</t>
  </si>
  <si>
    <t>Total C -Interval Schemes</t>
  </si>
  <si>
    <t>Grand Total (A+B+C)</t>
  </si>
  <si>
    <t>Fund of Funds Scheme (Domestic)**</t>
  </si>
  <si>
    <t>No.of schemes also includes serial plans.</t>
  </si>
  <si>
    <t>Data in respect Fund of Funds Domestic is shown for information only. The same is included in the respective underlying schemes.</t>
  </si>
  <si>
    <t>Table 59: Trends in Transactions on Stock Markets by Mutual Funds (₹  crore)</t>
  </si>
  <si>
    <t>Gross Purchases</t>
  </si>
  <si>
    <t>Gross Sales</t>
  </si>
  <si>
    <t>Net Purchases /Sales</t>
  </si>
  <si>
    <t>This data is compiled on the basis of reports submitted to SEBI by custodians.</t>
  </si>
  <si>
    <t>Discretionary#</t>
  </si>
  <si>
    <t>Non-Discretionary</t>
  </si>
  <si>
    <t>Co-Investment</t>
  </si>
  <si>
    <t>Advisory</t>
  </si>
  <si>
    <t>Discretionary</t>
  </si>
  <si>
    <t>Advisory**</t>
  </si>
  <si>
    <t>No. of Clients</t>
  </si>
  <si>
    <t>AUM (₹ crore)</t>
  </si>
  <si>
    <t>Listed Equity</t>
  </si>
  <si>
    <t>Unlisted Equity</t>
  </si>
  <si>
    <t>Plain Debt Listed</t>
  </si>
  <si>
    <t>Plain Debt Unlisted</t>
  </si>
  <si>
    <t>Structured Debt Listed</t>
  </si>
  <si>
    <t>Structured Debt Unlisted</t>
  </si>
  <si>
    <t>Derivatives- Equity</t>
  </si>
  <si>
    <t>Derivatives- Commodity</t>
  </si>
  <si>
    <t>Derivatives- Others</t>
  </si>
  <si>
    <t>Total*</t>
  </si>
  <si>
    <t xml:space="preserve">1. **Value of Assets for which Advisory Services are being given. </t>
  </si>
  <si>
    <t>2. #Of the July , 2023 AUM, Rs.21,46,497/- Crores are contributed by funds from EPFO/PFs.</t>
  </si>
  <si>
    <t>3. Of the July , 2024 AUM,  Rs.25,12,521/- Crores are contributed by funds from EPFO/PFs.</t>
  </si>
  <si>
    <t>4.  The above data is as per submissions made by 419 Nos. of PMS on the SI Portal till August 31, 2024</t>
  </si>
  <si>
    <t xml:space="preserve">
Exchanges</t>
  </si>
  <si>
    <t xml:space="preserve">
Particulars</t>
  </si>
  <si>
    <t>Futures</t>
  </si>
  <si>
    <t>Options #</t>
  </si>
  <si>
    <t xml:space="preserve">
Agriculture</t>
  </si>
  <si>
    <t xml:space="preserve">
Metals other than bullion</t>
  </si>
  <si>
    <t xml:space="preserve">
Bullion </t>
  </si>
  <si>
    <t xml:space="preserve">
Energy </t>
  </si>
  <si>
    <t xml:space="preserve">
Gems and Stones</t>
  </si>
  <si>
    <t xml:space="preserve">
Indices</t>
  </si>
  <si>
    <t xml:space="preserve">
NCDEX</t>
  </si>
  <si>
    <t xml:space="preserve">
Permitted for trading</t>
  </si>
  <si>
    <t xml:space="preserve">
Contracts floated </t>
  </si>
  <si>
    <t xml:space="preserve">
Traded</t>
  </si>
  <si>
    <t xml:space="preserve">
MCX</t>
  </si>
  <si>
    <t xml:space="preserve">
BSE</t>
  </si>
  <si>
    <t xml:space="preserve">
NSE</t>
  </si>
  <si>
    <t xml:space="preserve">
Note : 1. All contract variants are considered as one commodity  </t>
  </si>
  <si>
    <t xml:space="preserve">
2.  #Options includes both Options on futures &amp; on goods.</t>
  </si>
  <si>
    <t xml:space="preserve">
Source: NCDEX, MCX, BSE and NSE</t>
  </si>
  <si>
    <t xml:space="preserve"> </t>
  </si>
  <si>
    <t xml:space="preserve">
Table 65: Trends in Commodity Index</t>
  </si>
  <si>
    <t>MCX iCOMDEX Composite</t>
  </si>
  <si>
    <t>Open</t>
  </si>
  <si>
    <t>Average of Daily Close #</t>
  </si>
  <si>
    <t># Average during the period.</t>
  </si>
  <si>
    <t>Source: MCX</t>
  </si>
  <si>
    <t xml:space="preserve">Table 66: Trends in commodity derivatives at MCX </t>
  </si>
  <si>
    <t xml:space="preserve">
Year / Month</t>
  </si>
  <si>
    <t xml:space="preserve">
No.of Trading days</t>
  </si>
  <si>
    <t xml:space="preserve">
Bullion</t>
  </si>
  <si>
    <t xml:space="preserve">
Metals</t>
  </si>
  <si>
    <t xml:space="preserve">
Energy</t>
  </si>
  <si>
    <t xml:space="preserve">
iCOMDEX Bullion</t>
  </si>
  <si>
    <t xml:space="preserve">
iCOMDEX Energy</t>
  </si>
  <si>
    <t xml:space="preserve">
iCOMDEX Metal</t>
  </si>
  <si>
    <t xml:space="preserve">
Total Futures</t>
  </si>
  <si>
    <t>Open interest at the end of the period</t>
  </si>
  <si>
    <t xml:space="preserve">
No. of contracts</t>
  </si>
  <si>
    <r>
      <t xml:space="preserve">
Turnover 
(</t>
    </r>
    <r>
      <rPr>
        <sz val="11"/>
        <color theme="1"/>
        <rFont val="Garamond"/>
        <family val="1"/>
      </rPr>
      <t>₹</t>
    </r>
    <r>
      <rPr>
        <b/>
        <sz val="11"/>
        <color theme="1"/>
        <rFont val="Garamond"/>
        <family val="1"/>
      </rPr>
      <t xml:space="preserve"> crore)</t>
    </r>
  </si>
  <si>
    <r>
      <t xml:space="preserve">
Turnover 
(</t>
    </r>
    <r>
      <rPr>
        <sz val="11"/>
        <color theme="1"/>
        <rFont val="Garamond"/>
        <family val="1"/>
      </rPr>
      <t>₹</t>
    </r>
    <r>
      <rPr>
        <b/>
        <sz val="11"/>
        <color theme="1"/>
        <rFont val="Garamond"/>
        <family val="1"/>
      </rPr>
      <t xml:space="preserve"> crore)</t>
    </r>
  </si>
  <si>
    <t xml:space="preserve"> 
No. of contracts</t>
  </si>
  <si>
    <r>
      <t xml:space="preserve">
Turnover (</t>
    </r>
    <r>
      <rPr>
        <sz val="11"/>
        <color theme="1"/>
        <rFont val="Garamond"/>
        <family val="1"/>
      </rPr>
      <t>₹</t>
    </r>
    <r>
      <rPr>
        <b/>
        <sz val="11"/>
        <color theme="1"/>
        <rFont val="Garamond"/>
        <family val="1"/>
      </rPr>
      <t xml:space="preserve"> crore)</t>
    </r>
  </si>
  <si>
    <r>
      <t xml:space="preserve">
Value
(</t>
    </r>
    <r>
      <rPr>
        <sz val="11"/>
        <color theme="1"/>
        <rFont val="Garamond"/>
        <family val="1"/>
      </rPr>
      <t>₹</t>
    </r>
    <r>
      <rPr>
        <b/>
        <sz val="11"/>
        <color theme="1"/>
        <rFont val="Garamond"/>
        <family val="1"/>
      </rPr>
      <t xml:space="preserve"> crore)</t>
    </r>
  </si>
  <si>
    <t>Options</t>
  </si>
  <si>
    <t>Bullion</t>
  </si>
  <si>
    <t xml:space="preserve">
Total Options</t>
  </si>
  <si>
    <t xml:space="preserve">
Open interest at the end of the period</t>
  </si>
  <si>
    <t xml:space="preserve">Call Options </t>
  </si>
  <si>
    <t xml:space="preserve">Put Options </t>
  </si>
  <si>
    <r>
      <t xml:space="preserve">
Notional Value 
(</t>
    </r>
    <r>
      <rPr>
        <sz val="11"/>
        <rFont val="Garamond"/>
        <family val="1"/>
      </rPr>
      <t>₹</t>
    </r>
    <r>
      <rPr>
        <b/>
        <sz val="11"/>
        <rFont val="Garamond"/>
        <family val="1"/>
      </rPr>
      <t xml:space="preserve"> crore)</t>
    </r>
  </si>
  <si>
    <t>Note: Options Turnover is based on Notional value (i.e. Strike Price + Premium).</t>
  </si>
  <si>
    <t xml:space="preserve">
Table 67: Trends in commodity derivatives at NCDEX </t>
  </si>
  <si>
    <t xml:space="preserve">
Agriculture </t>
  </si>
  <si>
    <t xml:space="preserve">
Agridex Index </t>
  </si>
  <si>
    <t xml:space="preserve">
Metal</t>
  </si>
  <si>
    <t xml:space="preserve">
Call options </t>
  </si>
  <si>
    <t xml:space="preserve"> 
Put options </t>
  </si>
  <si>
    <t xml:space="preserve">
Notional Value 
(₹ crore)</t>
  </si>
  <si>
    <t>Source: NCDEX</t>
  </si>
  <si>
    <t xml:space="preserve">
Table 68: Trends in commodity derivatives at BSE </t>
  </si>
  <si>
    <t>Agriculture</t>
  </si>
  <si>
    <t xml:space="preserve">Bullion </t>
  </si>
  <si>
    <t xml:space="preserve">
Base Metal</t>
  </si>
  <si>
    <t xml:space="preserve">Energy </t>
  </si>
  <si>
    <r>
      <t>Turnover 
(</t>
    </r>
    <r>
      <rPr>
        <sz val="11"/>
        <color theme="1"/>
        <rFont val="Garamond"/>
        <family val="1"/>
      </rPr>
      <t>₹</t>
    </r>
    <r>
      <rPr>
        <b/>
        <sz val="11"/>
        <color theme="1"/>
        <rFont val="Garamond"/>
        <family val="1"/>
      </rPr>
      <t xml:space="preserve"> crore)</t>
    </r>
  </si>
  <si>
    <t xml:space="preserve"> Bullion</t>
  </si>
  <si>
    <t>Note: 1. Conversion factor for Brent Crude Oil of Energy segment is 1 Tonne = 7.33 Barrels</t>
  </si>
  <si>
    <t xml:space="preserve">
Table 69: Trends in commodity derivatives at NSE</t>
  </si>
  <si>
    <t>Metals</t>
  </si>
  <si>
    <r>
      <t xml:space="preserve">
Turnover (</t>
    </r>
    <r>
      <rPr>
        <sz val="11"/>
        <color theme="1"/>
        <rFont val="Garamond"/>
        <family val="1"/>
      </rPr>
      <t xml:space="preserve">₹ </t>
    </r>
    <r>
      <rPr>
        <b/>
        <sz val="11"/>
        <color theme="1"/>
        <rFont val="Garamond"/>
        <family val="1"/>
      </rPr>
      <t>crore)</t>
    </r>
  </si>
  <si>
    <r>
      <t xml:space="preserve"> Value
(</t>
    </r>
    <r>
      <rPr>
        <sz val="11"/>
        <color theme="1"/>
        <rFont val="Garamond"/>
        <family val="1"/>
      </rPr>
      <t>₹</t>
    </r>
    <r>
      <rPr>
        <b/>
        <sz val="11"/>
        <color theme="1"/>
        <rFont val="Garamond"/>
        <family val="1"/>
      </rPr>
      <t xml:space="preserve"> crore)</t>
    </r>
  </si>
  <si>
    <r>
      <t xml:space="preserve">
Turnover 
(</t>
    </r>
    <r>
      <rPr>
        <sz val="11"/>
        <color theme="1"/>
        <rFont val="Garamond"/>
        <family val="1"/>
      </rPr>
      <t xml:space="preserve">₹ </t>
    </r>
    <r>
      <rPr>
        <b/>
        <sz val="11"/>
        <color theme="1"/>
        <rFont val="Garamond"/>
        <family val="1"/>
      </rPr>
      <t>crore)</t>
    </r>
  </si>
  <si>
    <t>No. of contracts traded</t>
  </si>
  <si>
    <t xml:space="preserve">
Table 70 : Participant-wise percentage share of turnover in commodity derivatives segment</t>
  </si>
  <si>
    <t xml:space="preserve"> Year</t>
  </si>
  <si>
    <t xml:space="preserve">
Farmers / FPOs</t>
  </si>
  <si>
    <t xml:space="preserve">
VCPs/ Hedger</t>
  </si>
  <si>
    <t xml:space="preserve">
Proprietary traders</t>
  </si>
  <si>
    <t xml:space="preserve">
Domestic Financial institutional investors</t>
  </si>
  <si>
    <t xml:space="preserve">
Foreign Participants</t>
  </si>
  <si>
    <t>Notes :1.''Category of 'others' include clients which do not fall in specific categories mentioned above, clients registered such as retail, HUF, individual proprietary firms, partnership firms, public and private companies, body corporates, etc.</t>
  </si>
  <si>
    <t>2. Data on percentage of participants for financial year is average of the monthly share.</t>
  </si>
  <si>
    <t xml:space="preserve">
Source: MCX, NCDEX, BSE and NSE</t>
  </si>
  <si>
    <t>Table 71: Commodity-wise turnover and trading volume at MCX</t>
  </si>
  <si>
    <t>Exchange &amp; Segment</t>
  </si>
  <si>
    <t>Commodity Type</t>
  </si>
  <si>
    <t>Name of the Commodity Contract</t>
  </si>
  <si>
    <t>Contract Size</t>
  </si>
  <si>
    <t>Quotation</t>
  </si>
  <si>
    <t>Close Price</t>
  </si>
  <si>
    <t>Average Daily Open Interest in Aug-24</t>
  </si>
  <si>
    <t>No of Contracts</t>
  </si>
  <si>
    <t>Values of Contracts (₹ Crore)</t>
  </si>
  <si>
    <t>MCX Futures</t>
  </si>
  <si>
    <t>Gold</t>
  </si>
  <si>
    <t>1 'KG</t>
  </si>
  <si>
    <t>₹/10 grams</t>
  </si>
  <si>
    <t>Gold Mini</t>
  </si>
  <si>
    <t>100 'Grams</t>
  </si>
  <si>
    <t>Gold Guinea</t>
  </si>
  <si>
    <t>8 'Grams</t>
  </si>
  <si>
    <t>₹/8 grams</t>
  </si>
  <si>
    <t>Gold Petals</t>
  </si>
  <si>
    <t>1 'Gram</t>
  </si>
  <si>
    <t>₹/1 grams</t>
  </si>
  <si>
    <t>Silver</t>
  </si>
  <si>
    <t>30 'KGs</t>
  </si>
  <si>
    <t>₹/ KG</t>
  </si>
  <si>
    <t>Silver Mini</t>
  </si>
  <si>
    <t>5 'KGs</t>
  </si>
  <si>
    <t>Silver Micro</t>
  </si>
  <si>
    <t>1 'KGs</t>
  </si>
  <si>
    <t>Total for Bullion</t>
  </si>
  <si>
    <t>Base Metals</t>
  </si>
  <si>
    <t>Aluminium</t>
  </si>
  <si>
    <t>5 MT</t>
  </si>
  <si>
    <t>Aluminium Mini</t>
  </si>
  <si>
    <t>1 MT</t>
  </si>
  <si>
    <t>Copper</t>
  </si>
  <si>
    <t>2.5 MT</t>
  </si>
  <si>
    <t>Lead</t>
  </si>
  <si>
    <t>Lead Mini</t>
  </si>
  <si>
    <t>Nickel</t>
  </si>
  <si>
    <t>1.5 MT</t>
  </si>
  <si>
    <t>Steel Rebar</t>
  </si>
  <si>
    <t>₹/ MT</t>
  </si>
  <si>
    <t>Zinc</t>
  </si>
  <si>
    <t>Zinc Mini</t>
  </si>
  <si>
    <t>Total for Base Metals</t>
  </si>
  <si>
    <t>Agri</t>
  </si>
  <si>
    <t>Cotton Candy</t>
  </si>
  <si>
    <t xml:space="preserve">48 Candy (355.56 kg/Candy)
</t>
  </si>
  <si>
    <t>₹/ per candy</t>
  </si>
  <si>
    <t>Mentha Oil</t>
  </si>
  <si>
    <t>360 KGs</t>
  </si>
  <si>
    <t>Kapas</t>
  </si>
  <si>
    <t>4 MT</t>
  </si>
  <si>
    <t>₹/20 KG</t>
  </si>
  <si>
    <t>Total for Agri.</t>
  </si>
  <si>
    <t>Crude Oil</t>
  </si>
  <si>
    <t>100 barrels</t>
  </si>
  <si>
    <t>₹/ Barrel</t>
  </si>
  <si>
    <t>Crude Oil Mini</t>
  </si>
  <si>
    <t>10 barrels</t>
  </si>
  <si>
    <t xml:space="preserve">Natural Gas </t>
  </si>
  <si>
    <t>1250 mmBtu</t>
  </si>
  <si>
    <t>₹/ mmBtu</t>
  </si>
  <si>
    <t>Natural Gas Mini</t>
  </si>
  <si>
    <t>250 mmBtu</t>
  </si>
  <si>
    <t>Total for Energy</t>
  </si>
  <si>
    <t xml:space="preserve">iCOMDEX Bullion </t>
  </si>
  <si>
    <t>₹/ Unit</t>
  </si>
  <si>
    <t>iCOMDEX Metal</t>
  </si>
  <si>
    <t>Total for Index Futures</t>
  </si>
  <si>
    <t>Total MCX Futures</t>
  </si>
  <si>
    <t>MCX Options</t>
  </si>
  <si>
    <t>Total MCX Options</t>
  </si>
  <si>
    <t>1 Option here refers to  'Option on commodity Futures'</t>
  </si>
  <si>
    <t>2. Closing prices have been considered for the most active contract at the end of month</t>
  </si>
  <si>
    <t xml:space="preserve">3. Average Daily OI and Values of Contract have been derived by taking the sum of end of day OI and then dividing by no. of trading days during the month. ( Deepavali Muhurat trading is not counted as trading day) </t>
  </si>
  <si>
    <t>4. Options Turnover is based on Notional value.</t>
  </si>
  <si>
    <t>Source : MCX</t>
  </si>
  <si>
    <t xml:space="preserve">
Table 72: Commodity-wise turnover and trading volume at NCDEX </t>
  </si>
  <si>
    <t xml:space="preserve">
Commodity Type</t>
  </si>
  <si>
    <t xml:space="preserve">
Name of the Commodity Contract</t>
  </si>
  <si>
    <t xml:space="preserve">
Symbol</t>
  </si>
  <si>
    <t xml:space="preserve"> Contract Size</t>
  </si>
  <si>
    <t xml:space="preserve">
Quotation</t>
  </si>
  <si>
    <t>Average Daily Open Interest in May 2024</t>
  </si>
  <si>
    <t>Symbol</t>
  </si>
  <si>
    <t xml:space="preserve">
No. of Contracts</t>
  </si>
  <si>
    <t xml:space="preserve"> 
NCDEX Futures</t>
  </si>
  <si>
    <t xml:space="preserve"> 
Agri.</t>
  </si>
  <si>
    <t>Bajra</t>
  </si>
  <si>
    <t>BAJRA</t>
  </si>
  <si>
    <t>10 MT</t>
  </si>
  <si>
    <t>₹/ Quintal</t>
  </si>
  <si>
    <t>Barley</t>
  </si>
  <si>
    <t>BARLEYJPR</t>
  </si>
  <si>
    <t>CASTOROIL</t>
  </si>
  <si>
    <t>2MT</t>
  </si>
  <si>
    <t>₹/ 10 KG</t>
  </si>
  <si>
    <t>Castorseed</t>
  </si>
  <si>
    <t>CASTOR</t>
  </si>
  <si>
    <t>Chana</t>
  </si>
  <si>
    <t>CHANA</t>
  </si>
  <si>
    <t>Coffee</t>
  </si>
  <si>
    <t>COFFEE</t>
  </si>
  <si>
    <t>1MT</t>
  </si>
  <si>
    <t>Coriander</t>
  </si>
  <si>
    <t>DHANIYA</t>
  </si>
  <si>
    <t xml:space="preserve">Cotton   </t>
  </si>
  <si>
    <t>COTTON</t>
  </si>
  <si>
    <t>₹/ Bale</t>
  </si>
  <si>
    <t>Cotton seed oil cake</t>
  </si>
  <si>
    <t>COCUDAKL</t>
  </si>
  <si>
    <t>CPO</t>
  </si>
  <si>
    <t>Guar seed</t>
  </si>
  <si>
    <t>GUARSEED10</t>
  </si>
  <si>
    <t>Guargum</t>
  </si>
  <si>
    <t>GUARGUM5</t>
  </si>
  <si>
    <t>Groundnut</t>
  </si>
  <si>
    <t>GROUNDNUT</t>
  </si>
  <si>
    <t>5MT</t>
  </si>
  <si>
    <t>Gur</t>
  </si>
  <si>
    <t>GUR</t>
  </si>
  <si>
    <t>₹/ 40KG</t>
  </si>
  <si>
    <t>Isabgol</t>
  </si>
  <si>
    <t>ISABGOL</t>
  </si>
  <si>
    <t>3 MT</t>
  </si>
  <si>
    <t>Jeera</t>
  </si>
  <si>
    <t>JEERAMINI</t>
  </si>
  <si>
    <t>JEERAUNJHA</t>
  </si>
  <si>
    <t>KAPAS</t>
  </si>
  <si>
    <t>₹/ 20KG</t>
  </si>
  <si>
    <t>Maize</t>
  </si>
  <si>
    <t>MAIZE</t>
  </si>
  <si>
    <t>Refined Soy Oil</t>
  </si>
  <si>
    <t>SYOREF</t>
  </si>
  <si>
    <t>RM seed</t>
  </si>
  <si>
    <t>RMSEED</t>
  </si>
  <si>
    <t>Sesameseed</t>
  </si>
  <si>
    <t>SESAMESEED</t>
  </si>
  <si>
    <t>Soy bean</t>
  </si>
  <si>
    <t>SYBEANIDR</t>
  </si>
  <si>
    <t>Soyameal</t>
  </si>
  <si>
    <t>SBMEALIDR</t>
  </si>
  <si>
    <t>Crude Sunflower Oil</t>
  </si>
  <si>
    <t>SUNOIL</t>
  </si>
  <si>
    <t>Turmeric</t>
  </si>
  <si>
    <t>TMCFGRNZM</t>
  </si>
  <si>
    <t>Wheat</t>
  </si>
  <si>
    <t>WHEATFAQ</t>
  </si>
  <si>
    <t>Steel Long</t>
  </si>
  <si>
    <t>STEEL</t>
  </si>
  <si>
    <t>Total for Metal</t>
  </si>
  <si>
    <t>Index</t>
  </si>
  <si>
    <t>AGRIDEX</t>
  </si>
  <si>
    <t>1 lot</t>
  </si>
  <si>
    <t>GUAREX</t>
  </si>
  <si>
    <t>SOYDEX</t>
  </si>
  <si>
    <t>Total Index Futures</t>
  </si>
  <si>
    <t>Total NCDEX Futures</t>
  </si>
  <si>
    <t xml:space="preserve">
NCDEX Options</t>
  </si>
  <si>
    <t>Agri.</t>
  </si>
  <si>
    <t>Guarseed</t>
  </si>
  <si>
    <t>Soybean</t>
  </si>
  <si>
    <t>RM Seed</t>
  </si>
  <si>
    <t>Total NCDEX Options</t>
  </si>
  <si>
    <t>Note: 1. AGRIDEX volume are in '000 lots and is not included for computing the total volume in "000 tonnes" .</t>
  </si>
  <si>
    <t>2. For Options traded qty is in '000 tons.</t>
  </si>
  <si>
    <t xml:space="preserve">
Table 73: Commodity-wise turnover and trading volume at BSE and NSE</t>
  </si>
  <si>
    <t xml:space="preserve">
Exchange &amp; Segment</t>
  </si>
  <si>
    <t>Values of Contracts (₹ crore)</t>
  </si>
  <si>
    <t xml:space="preserve">
BSE Futures</t>
  </si>
  <si>
    <t>1 KG</t>
  </si>
  <si>
    <t>30 KGs</t>
  </si>
  <si>
    <t>Gold M</t>
  </si>
  <si>
    <t>100 Grams</t>
  </si>
  <si>
    <t>SilverKG</t>
  </si>
  <si>
    <t>5 KG</t>
  </si>
  <si>
    <t>SilverM</t>
  </si>
  <si>
    <t xml:space="preserve"> 1 KG</t>
  </si>
  <si>
    <t xml:space="preserve">
Agri.</t>
  </si>
  <si>
    <t>Guar Seed</t>
  </si>
  <si>
    <t>Cotton29</t>
  </si>
  <si>
    <t>BSE Almond</t>
  </si>
  <si>
    <t>1000 KGs</t>
  </si>
  <si>
    <t>CottonJ34^</t>
  </si>
  <si>
    <t>25 Bales</t>
  </si>
  <si>
    <t>SUFIBLT (Steel Billets Futures)</t>
  </si>
  <si>
    <t>Brent Crude</t>
  </si>
  <si>
    <t>WTI Crude</t>
  </si>
  <si>
    <t xml:space="preserve">
Total -BSE Futures</t>
  </si>
  <si>
    <t xml:space="preserve">
BSE Options</t>
  </si>
  <si>
    <t xml:space="preserve"> 
Bullion</t>
  </si>
  <si>
    <t>30 Kg</t>
  </si>
  <si>
    <t>Silver KG</t>
  </si>
  <si>
    <t>₹/ BBL</t>
  </si>
  <si>
    <t xml:space="preserve">
Total -BSE Options</t>
  </si>
  <si>
    <t xml:space="preserve">
NSE Futures</t>
  </si>
  <si>
    <t>Gold 1G</t>
  </si>
  <si>
    <t>1Gram</t>
  </si>
  <si>
    <t>₹/ gram</t>
  </si>
  <si>
    <t>SILVERM</t>
  </si>
  <si>
    <t>5 KGs</t>
  </si>
  <si>
    <t>SILVERMIC</t>
  </si>
  <si>
    <t xml:space="preserve"> Energy</t>
  </si>
  <si>
    <t>Brent Crude Oil</t>
  </si>
  <si>
    <t>100 Barrel</t>
  </si>
  <si>
    <t>Brent Crude Oil Mini</t>
  </si>
  <si>
    <t>10 Barrel</t>
  </si>
  <si>
    <t>Natural Gas</t>
  </si>
  <si>
    <t>100 Barrels</t>
  </si>
  <si>
    <t>Crude Degummed  Soybean Oil </t>
  </si>
  <si>
    <t>₹/10 KGs</t>
  </si>
  <si>
    <t>Total for base metals</t>
  </si>
  <si>
    <t>Total -NSE Futures</t>
  </si>
  <si>
    <t xml:space="preserve">
NSE Options</t>
  </si>
  <si>
    <t>One NSE Natural Gas futures contract</t>
  </si>
  <si>
    <t>One NSE WTI Crude Oil futures contract</t>
  </si>
  <si>
    <t>Total -NSE Option</t>
  </si>
  <si>
    <t>Total -NSE Options</t>
  </si>
  <si>
    <t>Source : BSE and NSE</t>
  </si>
  <si>
    <t>Table 63: Depository Statistics as on August 31, 2024</t>
  </si>
  <si>
    <t xml:space="preserve">I.GDP at Current prices for 2024-25 Q1 (₹ crore) #                   </t>
  </si>
  <si>
    <t>Table 2: Company-Wise Capital Raised through Public and Rights Issues (Equity) (During the month of August 2024)</t>
  </si>
  <si>
    <t>Table 3: Offers closed during August 2024 under SEBI (Substantial Acquisition of Shares and Takeover) Regulations, 2011</t>
  </si>
  <si>
    <t>Source: Custodians</t>
  </si>
  <si>
    <t>$ indicates upto August 31, 2024</t>
  </si>
  <si>
    <t>Table 64: Number of commodities permitted and traded at exchanges during the month (August 2024)</t>
  </si>
  <si>
    <t>1. The city-wise distribution of turnover is based on the cities uploaded in the UCC database of the Exchange for clientele trades and members registered office city for proprietary trades.</t>
  </si>
  <si>
    <t>i) BSE</t>
  </si>
  <si>
    <t>ii) NSE</t>
  </si>
  <si>
    <t>iii) MSEI</t>
  </si>
  <si>
    <t>i) MCX</t>
  </si>
  <si>
    <t>ii) NCDEX</t>
  </si>
  <si>
    <t>iii) ICEX</t>
  </si>
  <si>
    <t>iv) BSE</t>
  </si>
  <si>
    <t>v) NSE</t>
  </si>
  <si>
    <t>i) NSDL</t>
  </si>
  <si>
    <t>ii) CDSL</t>
  </si>
  <si>
    <t>Market Intermediaries/Institutions</t>
  </si>
  <si>
    <t>Other Intermediaries</t>
  </si>
  <si>
    <t>Foods and Inns Limited</t>
  </si>
  <si>
    <t>Amount 
(₹  crore)</t>
  </si>
  <si>
    <t>Amount 
(₹ crore)</t>
  </si>
  <si>
    <t xml:space="preserve">
Values of Contracts (₹ crore)</t>
  </si>
  <si>
    <t>Amount
(₹ crore)</t>
  </si>
  <si>
    <t>2024-25 (Till August-24)</t>
  </si>
  <si>
    <t>Sl. No.</t>
  </si>
  <si>
    <t>Brokers (Cash Segment) (i+ii+iii)</t>
  </si>
  <si>
    <t>Brokers (Equity Derivatives Segment) (i+ii+iii)</t>
  </si>
  <si>
    <t>Brokers (Currency Derivatives Segment) (i+ii+iii)</t>
  </si>
  <si>
    <t>Brokers (Debt Segment) (i+ii+iii)</t>
  </si>
  <si>
    <t>Brokers (Commodity Derivatives Segment) (i+ii+iii+iv+v)</t>
  </si>
  <si>
    <t>Corporate Brokers(Cash Segment) (i+ii+iii)</t>
  </si>
  <si>
    <t>Depository Participants (i+ii)</t>
  </si>
  <si>
    <t>No.of schemes as on August 31, 2024</t>
  </si>
  <si>
    <t>No.of folios as on August 31, 2024</t>
  </si>
  <si>
    <t>Funds mobilised for theriod (since April 01, 2024 to August 31, 2024) (₹ crore)</t>
  </si>
  <si>
    <t xml:space="preserve">Repurchase/ Redemption for the period (Since April 01, 2024 to August 31, 2024)  (₹ crore) </t>
  </si>
  <si>
    <t>Net Inflow(ve) / Outflow(-ve) for the period (since April 01, 2024 to August 31, 2024 ) (₹ crore)</t>
  </si>
  <si>
    <t>Net Asset under management as on August 31, 2024 (₹ crore)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</si>
</sst>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2">
    <numFmt numFmtId="43" formatCode="_ * #,##0.00_ ;_ * \-#,##0.00_ ;_ * &quot;-&quot;??_ ;_ @_ "/>
    <numFmt numFmtId="164" formatCode="_(* #,##0.00_);_(* \(#,##0.00\);_(* &quot;-&quot;??_);_(@_)"/>
    <numFmt numFmtId="165" formatCode="#,##0;\-#,##0;0"/>
    <numFmt numFmtId="166" formatCode="[$-F800]dddd\,\ mmmm\ dd\,\ yyyy"/>
    <numFmt numFmtId="167" formatCode="#,##0;\-#,##0;0.0"/>
    <numFmt numFmtId="168" formatCode="_ * #,##0_ ;_ * \-#,##0_ ;_ * &quot;-&quot;??_ ;_ @_ "/>
    <numFmt numFmtId="169" formatCode="[$-409]mmm\-yy;@"/>
    <numFmt numFmtId="170" formatCode="0;\(0\)"/>
    <numFmt numFmtId="171" formatCode="0\,00\,000;\-0\,00\,000;0"/>
    <numFmt numFmtId="172" formatCode="0.0;\(0.0\)"/>
    <numFmt numFmtId="173" formatCode="0\,00\,00\,000;\-0\,00\,00\,000;0"/>
    <numFmt numFmtId="174" formatCode="[$-409]d\-mmm\-yy;@"/>
    <numFmt numFmtId="175" formatCode="#,##0.0;\-#,##0.0;0.0"/>
    <numFmt numFmtId="176" formatCode="#,##0.000000;\-#,##0.000000;0.000000"/>
    <numFmt numFmtId="177" formatCode="0.0;\-0.0;0.0"/>
    <numFmt numFmtId="178" formatCode="0;\-0;0"/>
    <numFmt numFmtId="179" formatCode="0.0"/>
    <numFmt numFmtId="180" formatCode="0.00_);\(0.00\)"/>
    <numFmt numFmtId="181" formatCode="0.0%"/>
    <numFmt numFmtId="182" formatCode="0.0;0.0;0"/>
    <numFmt numFmtId="183" formatCode="0.0;\-0.0;0"/>
    <numFmt numFmtId="184" formatCode="0.0;\(0\);0.0"/>
    <numFmt numFmtId="185" formatCode="0.00;\-0.00;0.0"/>
    <numFmt numFmtId="186" formatCode="#,##0.0"/>
    <numFmt numFmtId="187" formatCode="_(* #,##0.00000_);_(* \(#,##0.00000\);_(* &quot;-&quot;??_);_(@_)"/>
    <numFmt numFmtId="188" formatCode="0_);\(0\)"/>
    <numFmt numFmtId="189" formatCode="_-* #,##0_-;\-* #,##0_-;_-* &quot;-&quot;??_-;_-@_-"/>
    <numFmt numFmtId="190" formatCode="0.00;\-0.00;0.00"/>
    <numFmt numFmtId="191" formatCode="0\,00\,00\,00\,000;\-0\,00\,00\,00\,000;0"/>
    <numFmt numFmtId="192" formatCode="[$-409]d/mmm/yy;@"/>
    <numFmt numFmtId="193" formatCode="[&gt;=10000000]#.###\,##\,##0;[&gt;=100000]#.###\,##0;##,##0.0"/>
    <numFmt numFmtId="194" formatCode="_(* #,##0_);_(* \(#,##0\);_(* &quot;-&quot;??_);_(@_)"/>
    <numFmt numFmtId="195" formatCode="_ * #,##0.0_ ;_ * \-#,##0.0_ ;_ * &quot;-&quot;??_ ;_ @_ "/>
    <numFmt numFmtId="196" formatCode="0.0000%"/>
    <numFmt numFmtId="197" formatCode="#,##0.0;\-#,##0.0;0"/>
    <numFmt numFmtId="198" formatCode="#,##0.00;\-#,##0.00;0.0"/>
    <numFmt numFmtId="199" formatCode="dd\/mm\/yyyy"/>
    <numFmt numFmtId="200" formatCode="#,###"/>
    <numFmt numFmtId="201" formatCode="[&gt;=10000000]#\,##\,##\,##0;[&gt;=100000]#\,##\,##0;##,##0"/>
    <numFmt numFmtId="202" formatCode="[&gt;=10000000]#.00\,##\,##\,##0;[&gt;=100000]#.00\,##\,##0;##,##0.00"/>
    <numFmt numFmtId="203" formatCode="[&gt;=10000000]#.0\,##\,##\,##0;[&gt;=100000]#.0\,##\,##0;##,##0.0"/>
    <numFmt numFmtId="204" formatCode="_(* #,##0.0_);_(* \(#,##0.0\);_(* &quot;-&quot;??_);_(@_)"/>
  </numFmts>
  <fonts count="72">
    <font>
      <sz val="11"/>
      <color theme="1"/>
      <name val="Calibri"/>
      <family val="2"/>
      <scheme val="minor"/>
    </font>
    <font>
      <sz val="11"/>
      <color theme="1"/>
      <name val="Calibri"/>
      <family val="2"/>
      <scheme val="minor"/>
    </font>
    <font>
      <sz val="10"/>
      <name val="Arial"/>
      <family val="2"/>
    </font>
    <font>
      <b/>
      <sz val="14"/>
      <color theme="4" tint="-0.499984740745262"/>
      <name val="Garamond"/>
      <family val="1"/>
    </font>
    <font>
      <sz val="6"/>
      <color indexed="8"/>
      <name val="Arial"/>
      <family val="2"/>
    </font>
    <font>
      <sz val="12"/>
      <color indexed="8"/>
      <name val="Garamond"/>
      <family val="1"/>
    </font>
    <font>
      <sz val="12"/>
      <name val="Garamond"/>
      <family val="1"/>
    </font>
    <font>
      <b/>
      <sz val="11"/>
      <color indexed="8"/>
      <name val="Garamond"/>
      <family val="1"/>
    </font>
    <font>
      <sz val="11"/>
      <color indexed="8"/>
      <name val="Garamond"/>
      <family val="1"/>
    </font>
    <font>
      <sz val="11"/>
      <color rgb="FF000000"/>
      <name val="Garamond"/>
      <family val="1"/>
    </font>
    <font>
      <sz val="11"/>
      <color theme="1"/>
      <name val="Garamond"/>
      <family val="1"/>
    </font>
    <font>
      <sz val="11"/>
      <name val="Garamond"/>
      <family val="1"/>
    </font>
    <font>
      <b/>
      <sz val="11"/>
      <name val="Garamond"/>
      <family val="1"/>
    </font>
    <font>
      <b/>
      <sz val="11"/>
      <color rgb="FF000000"/>
      <name val="Garamond"/>
      <family val="1"/>
    </font>
    <font>
      <sz val="10"/>
      <color rgb="FF000000"/>
      <name val="Palatino Linotype"/>
      <family val="1"/>
    </font>
    <font>
      <b/>
      <sz val="11"/>
      <color theme="1"/>
      <name val="Garamond"/>
      <family val="1"/>
    </font>
    <font>
      <sz val="11"/>
      <color theme="1"/>
      <name val="Consolas"/>
      <family val="2"/>
    </font>
    <font>
      <b/>
      <sz val="10"/>
      <color indexed="8"/>
      <name val="Palatino Linotype"/>
      <family val="1"/>
    </font>
    <font>
      <b/>
      <sz val="10"/>
      <name val="Palatino Linotype"/>
      <family val="1"/>
    </font>
    <font>
      <b/>
      <sz val="11"/>
      <color indexed="8"/>
      <name val="Rupee Foradian"/>
      <family val="2"/>
    </font>
    <font>
      <i/>
      <sz val="11"/>
      <color indexed="8"/>
      <name val="Garamond"/>
      <family val="1"/>
    </font>
    <font>
      <sz val="10"/>
      <name val="Garamond"/>
      <family val="1"/>
    </font>
    <font>
      <sz val="10"/>
      <color theme="1"/>
      <name val="Garamond"/>
      <family val="1"/>
    </font>
    <font>
      <sz val="10"/>
      <color indexed="8"/>
      <name val="Garamond"/>
      <family val="1"/>
    </font>
    <font>
      <sz val="9"/>
      <color rgb="FF000000"/>
      <name val="Arial"/>
      <family val="2"/>
    </font>
    <font>
      <b/>
      <sz val="9"/>
      <color indexed="8"/>
      <name val="Garamond"/>
      <family val="1"/>
    </font>
    <font>
      <sz val="9"/>
      <name val="Garamond"/>
      <family val="1"/>
    </font>
    <font>
      <sz val="9"/>
      <color indexed="8"/>
      <name val="Garamond"/>
      <family val="1"/>
    </font>
    <font>
      <sz val="9"/>
      <color indexed="8"/>
      <name val="Arial"/>
      <family val="2"/>
    </font>
    <font>
      <b/>
      <sz val="11"/>
      <name val="Rupee Foradian"/>
      <family val="2"/>
    </font>
    <font>
      <sz val="10"/>
      <color theme="1"/>
      <name val="Garamond"/>
      <family val="2"/>
    </font>
    <font>
      <b/>
      <sz val="10"/>
      <color theme="1"/>
      <name val="Garamond"/>
      <family val="1"/>
    </font>
    <font>
      <b/>
      <i/>
      <sz val="11"/>
      <color indexed="8"/>
      <name val="Garamond"/>
      <family val="1"/>
    </font>
    <font>
      <sz val="6"/>
      <color indexed="8"/>
      <name val="Garamond"/>
      <family val="1"/>
    </font>
    <font>
      <sz val="10"/>
      <name val="Times New Roman"/>
      <family val="1"/>
    </font>
    <font>
      <sz val="8"/>
      <name val="Garamond"/>
      <family val="1"/>
    </font>
    <font>
      <sz val="11"/>
      <color indexed="8"/>
      <name val="Calibri"/>
      <family val="2"/>
    </font>
    <font>
      <u/>
      <sz val="11"/>
      <color theme="10"/>
      <name val="Calibri"/>
      <family val="2"/>
      <scheme val="minor"/>
    </font>
    <font>
      <sz val="10"/>
      <color theme="1"/>
      <name val="Book Antiqua"/>
      <family val="1"/>
    </font>
    <font>
      <sz val="13"/>
      <color rgb="FF333333"/>
      <name val="Segoe UI"/>
      <family val="2"/>
    </font>
    <font>
      <sz val="11"/>
      <name val="Times New Roman"/>
      <family val="1"/>
    </font>
    <font>
      <sz val="11"/>
      <color theme="1"/>
      <name val="Times New Roman"/>
      <family val="1"/>
    </font>
    <font>
      <sz val="10"/>
      <color rgb="FF000000"/>
      <name val="Book Antiqua"/>
      <family val="1"/>
    </font>
    <font>
      <b/>
      <sz val="10"/>
      <color indexed="8"/>
      <name val="Garamond"/>
      <family val="1"/>
    </font>
    <font>
      <sz val="10"/>
      <color indexed="8"/>
      <name val="Garamond"/>
      <family val="2"/>
    </font>
    <font>
      <sz val="11"/>
      <color rgb="FFFF0000"/>
      <name val="Garamond"/>
      <family val="1"/>
    </font>
    <font>
      <b/>
      <sz val="12"/>
      <color theme="1"/>
      <name val="Times New Roman"/>
      <family val="1"/>
    </font>
    <font>
      <b/>
      <sz val="11"/>
      <color theme="1"/>
      <name val="Calibri"/>
      <family val="2"/>
      <scheme val="minor"/>
    </font>
    <font>
      <sz val="8"/>
      <color theme="1"/>
      <name val="Garamond"/>
      <family val="1"/>
    </font>
    <font>
      <b/>
      <sz val="11"/>
      <color indexed="8"/>
      <name val="Calibri Light"/>
      <family val="2"/>
      <scheme val="major"/>
    </font>
    <font>
      <sz val="11"/>
      <name val="Calibri Light"/>
      <family val="2"/>
      <scheme val="major"/>
    </font>
    <font>
      <sz val="11"/>
      <color theme="1"/>
      <name val="Calibri Light"/>
      <family val="2"/>
      <scheme val="major"/>
    </font>
    <font>
      <sz val="10"/>
      <color indexed="10"/>
      <name val="Garamond"/>
      <family val="1"/>
    </font>
    <font>
      <i/>
      <sz val="11"/>
      <color theme="1"/>
      <name val="Garamond"/>
      <family val="1"/>
    </font>
    <font>
      <sz val="11"/>
      <color theme="1" tint="4.9989318521683403E-2"/>
      <name val="Garamond"/>
      <family val="1"/>
    </font>
    <font>
      <b/>
      <sz val="12"/>
      <color theme="1"/>
      <name val="Garamond"/>
      <family val="1"/>
    </font>
    <font>
      <b/>
      <i/>
      <sz val="11"/>
      <color rgb="FF000000"/>
      <name val="Garamond"/>
      <family val="1"/>
    </font>
    <font>
      <sz val="10"/>
      <color theme="1"/>
      <name val="Calibri"/>
      <family val="2"/>
      <scheme val="minor"/>
    </font>
    <font>
      <b/>
      <i/>
      <sz val="11"/>
      <color theme="1"/>
      <name val="Garamond"/>
      <family val="1"/>
    </font>
    <font>
      <i/>
      <sz val="11"/>
      <color rgb="FF000000"/>
      <name val="Garamond"/>
      <family val="1"/>
    </font>
    <font>
      <i/>
      <sz val="11"/>
      <name val="Garamond"/>
      <family val="1"/>
    </font>
    <font>
      <b/>
      <i/>
      <sz val="11"/>
      <name val="Garamond"/>
      <family val="1"/>
    </font>
    <font>
      <i/>
      <sz val="11"/>
      <color theme="1"/>
      <name val="Calibri"/>
      <family val="2"/>
      <scheme val="minor"/>
    </font>
    <font>
      <i/>
      <sz val="10"/>
      <color theme="1"/>
      <name val="Calibri"/>
      <family val="2"/>
      <scheme val="minor"/>
    </font>
    <font>
      <sz val="8"/>
      <color theme="1"/>
      <name val="Arial"/>
      <family val="2"/>
    </font>
    <font>
      <b/>
      <sz val="8"/>
      <name val="Arial"/>
      <family val="2"/>
    </font>
    <font>
      <b/>
      <sz val="8"/>
      <color theme="1"/>
      <name val="Arial"/>
      <family val="2"/>
    </font>
    <font>
      <sz val="12"/>
      <color rgb="FF000000"/>
      <name val="Garamond"/>
      <family val="1"/>
    </font>
    <font>
      <b/>
      <sz val="10"/>
      <name val="Garamond"/>
      <family val="1"/>
    </font>
    <font>
      <sz val="10"/>
      <color rgb="FF000000"/>
      <name val="Garamond"/>
      <family val="1"/>
    </font>
    <font>
      <sz val="8"/>
      <color rgb="FF000000"/>
      <name val="Arial"/>
      <family val="2"/>
    </font>
    <font>
      <i/>
      <sz val="10"/>
      <color rgb="FF000000"/>
      <name val="Garamond"/>
      <family val="1"/>
    </font>
  </fonts>
  <fills count="15">
    <fill>
      <patternFill patternType="none"/>
    </fill>
    <fill>
      <patternFill patternType="gray125"/>
    </fill>
    <fill>
      <patternFill patternType="solid">
        <fgColor indexed="9"/>
        <bgColor indexed="64"/>
      </patternFill>
    </fill>
    <fill>
      <patternFill patternType="solid">
        <fgColor theme="0"/>
        <bgColor indexed="64"/>
      </patternFill>
    </fill>
    <fill>
      <patternFill patternType="solid">
        <fgColor rgb="FFFFFFFF"/>
        <bgColor indexed="64"/>
      </patternFill>
    </fill>
    <fill>
      <patternFill patternType="solid">
        <fgColor theme="8" tint="0.79998168889431442"/>
        <bgColor indexed="64"/>
      </patternFill>
    </fill>
    <fill>
      <patternFill patternType="solid">
        <fgColor indexed="9"/>
        <bgColor indexed="9"/>
      </patternFill>
    </fill>
    <fill>
      <patternFill patternType="solid">
        <fgColor theme="0" tint="-0.14999847407452621"/>
        <bgColor indexed="64"/>
      </patternFill>
    </fill>
    <fill>
      <patternFill patternType="solid">
        <fgColor theme="2"/>
        <bgColor indexed="64"/>
      </patternFill>
    </fill>
    <fill>
      <patternFill patternType="solid">
        <fgColor theme="2" tint="-9.9978637043366805E-2"/>
        <bgColor indexed="64"/>
      </patternFill>
    </fill>
    <fill>
      <patternFill patternType="solid">
        <fgColor theme="4" tint="0.79998168889431442"/>
        <bgColor indexed="64"/>
      </patternFill>
    </fill>
    <fill>
      <patternFill patternType="solid">
        <fgColor rgb="FFFFFF00"/>
        <bgColor indexed="64"/>
      </patternFill>
    </fill>
    <fill>
      <patternFill patternType="solid">
        <fgColor theme="0"/>
        <bgColor theme="4" tint="0.79998168889431442"/>
      </patternFill>
    </fill>
    <fill>
      <patternFill patternType="solid">
        <fgColor theme="0" tint="-0.249977111117893"/>
        <bgColor indexed="64"/>
      </patternFill>
    </fill>
    <fill>
      <patternFill patternType="solid">
        <fgColor indexed="22"/>
        <bgColor indexed="64"/>
      </patternFill>
    </fill>
  </fills>
  <borders count="132">
    <border>
      <left/>
      <right/>
      <top/>
      <bottom/>
      <diagonal/>
    </border>
    <border>
      <left style="thin">
        <color indexed="8"/>
      </left>
      <right style="thin">
        <color indexed="8"/>
      </right>
      <top style="thin">
        <color indexed="8"/>
      </top>
      <bottom style="thin">
        <color indexed="8"/>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right style="thin">
        <color indexed="64"/>
      </right>
      <top/>
      <bottom/>
      <diagonal/>
    </border>
    <border>
      <left style="thin">
        <color indexed="64"/>
      </left>
      <right style="thin">
        <color indexed="64"/>
      </right>
      <top/>
      <bottom/>
      <diagonal/>
    </border>
    <border>
      <left style="thin">
        <color indexed="64"/>
      </left>
      <right/>
      <top style="thin">
        <color indexed="64"/>
      </top>
      <bottom/>
      <diagonal/>
    </border>
    <border>
      <left style="thin">
        <color indexed="8"/>
      </left>
      <right style="thin">
        <color indexed="8"/>
      </right>
      <top style="thin">
        <color indexed="8"/>
      </top>
      <bottom/>
      <diagonal/>
    </border>
    <border>
      <left style="thin">
        <color indexed="8"/>
      </left>
      <right/>
      <top style="thin">
        <color indexed="8"/>
      </top>
      <bottom/>
      <diagonal/>
    </border>
    <border>
      <left/>
      <right style="thin">
        <color indexed="8"/>
      </right>
      <top style="thin">
        <color indexed="8"/>
      </top>
      <bottom/>
      <diagonal/>
    </border>
    <border>
      <left style="thin">
        <color indexed="8"/>
      </left>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diagonal/>
    </border>
    <border>
      <left style="thin">
        <color indexed="8"/>
      </left>
      <right/>
      <top/>
      <bottom/>
      <diagonal/>
    </border>
    <border>
      <left/>
      <right style="thin">
        <color indexed="8"/>
      </right>
      <top/>
      <bottom/>
      <diagonal/>
    </border>
    <border>
      <left/>
      <right/>
      <top/>
      <bottom style="thin">
        <color indexed="8"/>
      </bottom>
      <diagonal/>
    </border>
    <border>
      <left/>
      <right/>
      <top style="thin">
        <color indexed="8"/>
      </top>
      <bottom style="thin">
        <color indexed="8"/>
      </bottom>
      <diagonal/>
    </border>
    <border>
      <left style="thin">
        <color indexed="8"/>
      </left>
      <right style="thin">
        <color indexed="8"/>
      </right>
      <top/>
      <bottom style="thin">
        <color indexed="8"/>
      </bottom>
      <diagonal/>
    </border>
    <border>
      <left style="thin">
        <color indexed="64"/>
      </left>
      <right style="thin">
        <color indexed="64"/>
      </right>
      <top/>
      <bottom style="thin">
        <color indexed="64"/>
      </bottom>
      <diagonal/>
    </border>
    <border>
      <left/>
      <right/>
      <top style="thin">
        <color indexed="8"/>
      </top>
      <bottom/>
      <diagonal/>
    </border>
    <border>
      <left style="thin">
        <color indexed="8"/>
      </left>
      <right/>
      <top/>
      <bottom style="thin">
        <color indexed="64"/>
      </bottom>
      <diagonal/>
    </border>
    <border>
      <left/>
      <right style="thin">
        <color indexed="8"/>
      </right>
      <top/>
      <bottom style="thin">
        <color indexed="64"/>
      </bottom>
      <diagonal/>
    </border>
    <border>
      <left/>
      <right/>
      <top/>
      <bottom style="thin">
        <color indexed="64"/>
      </bottom>
      <diagonal/>
    </border>
    <border>
      <left style="thin">
        <color indexed="8"/>
      </left>
      <right/>
      <top/>
      <bottom style="thin">
        <color indexed="8"/>
      </bottom>
      <diagonal/>
    </border>
    <border>
      <left/>
      <right style="thin">
        <color indexed="8"/>
      </right>
      <top/>
      <bottom style="thin">
        <color indexed="8"/>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double">
        <color indexed="8"/>
      </left>
      <right style="thin">
        <color indexed="8"/>
      </right>
      <top/>
      <bottom style="thin">
        <color indexed="8"/>
      </bottom>
      <diagonal/>
    </border>
    <border>
      <left style="double">
        <color indexed="8"/>
      </left>
      <right style="thin">
        <color indexed="8"/>
      </right>
      <top/>
      <bottom/>
      <diagonal/>
    </border>
    <border>
      <left style="thin">
        <color auto="1"/>
      </left>
      <right style="thin">
        <color auto="1"/>
      </right>
      <top style="thin">
        <color auto="1"/>
      </top>
      <bottom/>
      <diagonal/>
    </border>
    <border>
      <left/>
      <right/>
      <top/>
      <bottom style="thin">
        <color auto="1"/>
      </bottom>
      <diagonal/>
    </border>
    <border>
      <left style="thin">
        <color indexed="64"/>
      </left>
      <right/>
      <top style="thin">
        <color indexed="64"/>
      </top>
      <bottom style="thin">
        <color indexed="64"/>
      </bottom>
      <diagonal/>
    </border>
    <border>
      <left style="thin">
        <color indexed="8"/>
      </left>
      <right style="thin">
        <color indexed="8"/>
      </right>
      <top style="thin">
        <color indexed="8"/>
      </top>
      <bottom style="thin">
        <color indexed="8"/>
      </bottom>
      <diagonal/>
    </border>
    <border>
      <left style="thin">
        <color indexed="8"/>
      </left>
      <right/>
      <top style="thin">
        <color indexed="8"/>
      </top>
      <bottom/>
      <diagonal/>
    </border>
    <border>
      <left/>
      <right style="thin">
        <color indexed="8"/>
      </right>
      <top style="thin">
        <color indexed="8"/>
      </top>
      <bottom/>
      <diagonal/>
    </border>
    <border>
      <left style="thin">
        <color indexed="8"/>
      </left>
      <right/>
      <top style="thin">
        <color indexed="8"/>
      </top>
      <bottom style="thin">
        <color indexed="8"/>
      </bottom>
      <diagonal/>
    </border>
    <border>
      <left/>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top style="thin">
        <color indexed="8"/>
      </top>
      <bottom style="thin">
        <color indexed="64"/>
      </bottom>
      <diagonal/>
    </border>
    <border>
      <left/>
      <right style="thin">
        <color indexed="8"/>
      </right>
      <top style="thin">
        <color indexed="8"/>
      </top>
      <bottom style="thin">
        <color indexed="64"/>
      </bottom>
      <diagonal/>
    </border>
    <border>
      <left style="thin">
        <color indexed="8"/>
      </left>
      <right style="thin">
        <color indexed="8"/>
      </right>
      <top style="thin">
        <color indexed="8"/>
      </top>
      <bottom style="thin">
        <color indexed="8"/>
      </bottom>
      <diagonal/>
    </border>
    <border>
      <left style="thin">
        <color auto="1"/>
      </left>
      <right/>
      <top style="thin">
        <color auto="1"/>
      </top>
      <bottom style="thin">
        <color auto="1"/>
      </bottom>
      <diagonal/>
    </border>
    <border>
      <left style="thin">
        <color auto="1"/>
      </left>
      <right style="thin">
        <color indexed="64"/>
      </right>
      <top/>
      <bottom style="thin">
        <color indexed="64"/>
      </bottom>
      <diagonal/>
    </border>
    <border>
      <left style="thin">
        <color indexed="64"/>
      </left>
      <right/>
      <top/>
      <bottom style="thin">
        <color indexed="64"/>
      </bottom>
      <diagonal/>
    </border>
    <border>
      <left style="thin">
        <color indexed="8"/>
      </left>
      <right style="thin">
        <color indexed="8"/>
      </right>
      <top style="thin">
        <color indexed="8"/>
      </top>
      <bottom/>
      <diagonal/>
    </border>
    <border>
      <left/>
      <right style="thin">
        <color indexed="64"/>
      </right>
      <top style="thin">
        <color indexed="64"/>
      </top>
      <bottom style="thin">
        <color indexed="64"/>
      </bottom>
      <diagonal/>
    </border>
    <border>
      <left style="thin">
        <color indexed="8"/>
      </left>
      <right/>
      <top style="thin">
        <color indexed="8"/>
      </top>
      <bottom style="thin">
        <color indexed="8"/>
      </bottom>
      <diagonal/>
    </border>
    <border>
      <left/>
      <right style="thin">
        <color indexed="8"/>
      </right>
      <top style="thin">
        <color indexed="8"/>
      </top>
      <bottom style="thin">
        <color indexed="8"/>
      </bottom>
      <diagonal/>
    </border>
    <border>
      <left/>
      <right/>
      <top style="thin">
        <color indexed="8"/>
      </top>
      <bottom style="thin">
        <color indexed="8"/>
      </bottom>
      <diagonal/>
    </border>
    <border>
      <left style="thin">
        <color auto="1"/>
      </left>
      <right/>
      <top style="thin">
        <color auto="1"/>
      </top>
      <bottom style="thin">
        <color auto="1"/>
      </bottom>
      <diagonal/>
    </border>
    <border>
      <left style="thin">
        <color indexed="64"/>
      </left>
      <right style="thin">
        <color indexed="64"/>
      </right>
      <top style="thin">
        <color indexed="64"/>
      </top>
      <bottom/>
      <diagonal/>
    </border>
    <border>
      <left/>
      <right style="thin">
        <color indexed="64"/>
      </right>
      <top style="thin">
        <color indexed="64"/>
      </top>
      <bottom style="thin">
        <color indexed="64"/>
      </bottom>
      <diagonal/>
    </border>
    <border>
      <left/>
      <right/>
      <top/>
      <bottom style="thin">
        <color indexed="8"/>
      </bottom>
      <diagonal/>
    </border>
    <border>
      <left/>
      <right/>
      <top style="thin">
        <color auto="1"/>
      </top>
      <bottom style="thin">
        <color auto="1"/>
      </bottom>
      <diagonal/>
    </border>
    <border>
      <left/>
      <right style="thin">
        <color indexed="64"/>
      </right>
      <top style="thin">
        <color indexed="64"/>
      </top>
      <bottom style="thin">
        <color indexed="64"/>
      </bottom>
      <diagonal/>
    </border>
    <border>
      <left style="thin">
        <color auto="1"/>
      </left>
      <right/>
      <top style="thin">
        <color auto="1"/>
      </top>
      <bottom style="thin">
        <color auto="1"/>
      </bottom>
      <diagonal/>
    </border>
    <border>
      <left/>
      <right style="thin">
        <color indexed="64"/>
      </right>
      <top style="thin">
        <color indexed="64"/>
      </top>
      <bottom style="thin">
        <color indexed="64"/>
      </bottom>
      <diagonal/>
    </border>
    <border>
      <left style="thin">
        <color auto="1"/>
      </left>
      <right/>
      <top style="thin">
        <color auto="1"/>
      </top>
      <bottom style="thin">
        <color auto="1"/>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double">
        <color indexed="8"/>
      </right>
      <top style="thin">
        <color indexed="8"/>
      </top>
      <bottom style="thin">
        <color indexed="8"/>
      </bottom>
      <diagonal/>
    </border>
    <border>
      <left style="thin">
        <color indexed="8"/>
      </left>
      <right style="double">
        <color indexed="8"/>
      </right>
      <top style="thin">
        <color indexed="8"/>
      </top>
      <bottom/>
      <diagonal/>
    </border>
    <border>
      <left style="double">
        <color indexed="8"/>
      </left>
      <right style="thin">
        <color indexed="8"/>
      </right>
      <top style="thin">
        <color indexed="8"/>
      </top>
      <bottom style="thin">
        <color indexed="8"/>
      </bottom>
      <diagonal/>
    </border>
    <border>
      <left style="double">
        <color indexed="8"/>
      </left>
      <right/>
      <top style="thin">
        <color indexed="8"/>
      </top>
      <bottom style="thin">
        <color indexed="8"/>
      </bottom>
      <diagonal/>
    </border>
    <border>
      <left style="thin">
        <color indexed="64"/>
      </left>
      <right style="thin">
        <color indexed="64"/>
      </right>
      <top style="thin">
        <color indexed="64"/>
      </top>
      <bottom/>
      <diagonal/>
    </border>
    <border>
      <left/>
      <right/>
      <top style="thin">
        <color indexed="64"/>
      </top>
      <bottom/>
      <diagonal/>
    </border>
    <border>
      <left style="thin">
        <color indexed="8"/>
      </left>
      <right/>
      <top style="thin">
        <color indexed="8"/>
      </top>
      <bottom style="thin">
        <color indexed="8"/>
      </bottom>
      <diagonal/>
    </border>
    <border>
      <left style="thin">
        <color indexed="8"/>
      </left>
      <right style="thin">
        <color indexed="8"/>
      </right>
      <top style="thin">
        <color indexed="8"/>
      </top>
      <bottom/>
      <diagonal/>
    </border>
    <border>
      <left style="thin">
        <color indexed="8"/>
      </left>
      <right style="thin">
        <color indexed="8"/>
      </right>
      <top style="thin">
        <color indexed="8"/>
      </top>
      <bottom style="thin">
        <color indexed="8"/>
      </bottom>
      <diagonal/>
    </border>
    <border>
      <left style="thin">
        <color indexed="8"/>
      </left>
      <right/>
      <top style="thin">
        <color indexed="8"/>
      </top>
      <bottom/>
      <diagonal/>
    </border>
    <border>
      <left/>
      <right/>
      <top style="thin">
        <color indexed="8"/>
      </top>
      <bottom style="thin">
        <color indexed="8"/>
      </bottom>
      <diagonal/>
    </border>
    <border>
      <left/>
      <right style="thin">
        <color indexed="8"/>
      </right>
      <top style="thin">
        <color indexed="8"/>
      </top>
      <bottom style="thin">
        <color indexed="8"/>
      </bottom>
      <diagonal/>
    </border>
    <border>
      <left style="thin">
        <color auto="1"/>
      </left>
      <right/>
      <top/>
      <bottom/>
      <diagonal/>
    </border>
    <border>
      <left style="thin">
        <color indexed="8"/>
      </left>
      <right style="thin">
        <color indexed="8"/>
      </right>
      <top/>
      <bottom/>
      <diagonal/>
    </border>
    <border>
      <left style="thin">
        <color indexed="8"/>
      </left>
      <right/>
      <top/>
      <bottom/>
      <diagonal/>
    </border>
    <border>
      <left/>
      <right style="thin">
        <color indexed="8"/>
      </right>
      <top style="thin">
        <color indexed="8"/>
      </top>
      <bottom/>
      <diagonal/>
    </border>
    <border>
      <left style="thin">
        <color indexed="8"/>
      </left>
      <right style="double">
        <color indexed="8"/>
      </right>
      <top/>
      <bottom style="thin">
        <color indexed="64"/>
      </bottom>
      <diagonal/>
    </border>
    <border>
      <left style="thin">
        <color auto="1"/>
      </left>
      <right/>
      <top style="thin">
        <color auto="1"/>
      </top>
      <bottom style="thin">
        <color auto="1"/>
      </bottom>
      <diagonal/>
    </border>
    <border>
      <left style="thin">
        <color indexed="8"/>
      </left>
      <right style="double">
        <color indexed="8"/>
      </right>
      <top style="thin">
        <color indexed="8"/>
      </top>
      <bottom/>
      <diagonal/>
    </border>
    <border>
      <left style="double">
        <color indexed="8"/>
      </left>
      <right style="thin">
        <color indexed="8"/>
      </right>
      <top style="thin">
        <color indexed="8"/>
      </top>
      <bottom style="thin">
        <color indexed="8"/>
      </bottom>
      <diagonal/>
    </border>
    <border>
      <left style="thin">
        <color indexed="8"/>
      </left>
      <right style="double">
        <color indexed="8"/>
      </right>
      <top style="thin">
        <color indexed="8"/>
      </top>
      <bottom/>
      <diagonal/>
    </border>
    <border>
      <left style="double">
        <color indexed="8"/>
      </left>
      <right style="thin">
        <color indexed="8"/>
      </right>
      <top style="thin">
        <color indexed="8"/>
      </top>
      <bottom style="thin">
        <color indexed="8"/>
      </bottom>
      <diagonal/>
    </border>
    <border>
      <left style="double">
        <color indexed="8"/>
      </left>
      <right/>
      <top style="thin">
        <color indexed="8"/>
      </top>
      <bottom style="thin">
        <color indexed="8"/>
      </bottom>
      <diagonal/>
    </border>
    <border>
      <left style="thin">
        <color indexed="8"/>
      </left>
      <right style="double">
        <color indexed="8"/>
      </right>
      <top style="thin">
        <color indexed="8"/>
      </top>
      <bottom style="thin">
        <color indexed="64"/>
      </bottom>
      <diagonal/>
    </border>
    <border>
      <left style="thin">
        <color indexed="64"/>
      </left>
      <right style="thin">
        <color indexed="64"/>
      </right>
      <top style="thin">
        <color indexed="64"/>
      </top>
      <bottom/>
      <diagonal/>
    </border>
    <border>
      <left style="double">
        <color indexed="8"/>
      </left>
      <right style="thin">
        <color indexed="8"/>
      </right>
      <top style="thin">
        <color indexed="8"/>
      </top>
      <bottom/>
      <diagonal/>
    </border>
    <border>
      <left style="double">
        <color indexed="8"/>
      </left>
      <right style="thin">
        <color indexed="8"/>
      </right>
      <top style="thin">
        <color indexed="8"/>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top style="thin">
        <color indexed="8"/>
      </top>
      <bottom/>
      <diagonal/>
    </border>
    <border>
      <left style="thin">
        <color auto="1"/>
      </left>
      <right style="thin">
        <color auto="1"/>
      </right>
      <top style="thin">
        <color auto="1"/>
      </top>
      <bottom style="thin">
        <color auto="1"/>
      </bottom>
      <diagonal/>
    </border>
    <border>
      <left style="thin">
        <color indexed="64"/>
      </left>
      <right/>
      <top/>
      <bottom style="thin">
        <color indexed="64"/>
      </bottom>
      <diagonal/>
    </border>
    <border>
      <left/>
      <right/>
      <top style="thin">
        <color indexed="64"/>
      </top>
      <bottom style="thin">
        <color indexed="64"/>
      </bottom>
      <diagonal/>
    </border>
    <border>
      <left/>
      <right style="thin">
        <color auto="1"/>
      </right>
      <top style="thin">
        <color auto="1"/>
      </top>
      <bottom style="thin">
        <color auto="1"/>
      </bottom>
      <diagonal/>
    </border>
    <border>
      <left style="thin">
        <color auto="1"/>
      </left>
      <right style="thin">
        <color indexed="8"/>
      </right>
      <top style="thin">
        <color auto="1"/>
      </top>
      <bottom style="thin">
        <color indexed="8"/>
      </bottom>
      <diagonal/>
    </border>
    <border>
      <left style="thin">
        <color indexed="8"/>
      </left>
      <right/>
      <top style="thin">
        <color auto="1"/>
      </top>
      <bottom style="thin">
        <color indexed="8"/>
      </bottom>
      <diagonal/>
    </border>
    <border>
      <left/>
      <right/>
      <top style="thin">
        <color auto="1"/>
      </top>
      <bottom style="thin">
        <color indexed="8"/>
      </bottom>
      <diagonal/>
    </border>
    <border>
      <left/>
      <right style="thin">
        <color indexed="8"/>
      </right>
      <top style="thin">
        <color auto="1"/>
      </top>
      <bottom style="thin">
        <color indexed="8"/>
      </bottom>
      <diagonal/>
    </border>
    <border>
      <left style="thin">
        <color auto="1"/>
      </left>
      <right style="thin">
        <color indexed="8"/>
      </right>
      <top style="thin">
        <color indexed="8"/>
      </top>
      <bottom style="thin">
        <color indexed="8"/>
      </bottom>
      <diagonal/>
    </border>
    <border>
      <left style="thin">
        <color indexed="8"/>
      </left>
      <right style="thin">
        <color auto="1"/>
      </right>
      <top style="thin">
        <color indexed="8"/>
      </top>
      <bottom style="thin">
        <color indexed="8"/>
      </bottom>
      <diagonal/>
    </border>
    <border>
      <left style="thin">
        <color indexed="64"/>
      </left>
      <right style="thin">
        <color indexed="64"/>
      </right>
      <top style="thin">
        <color indexed="8"/>
      </top>
      <bottom style="thin">
        <color indexed="64"/>
      </bottom>
      <diagonal/>
    </border>
    <border>
      <left style="thin">
        <color auto="1"/>
      </left>
      <right/>
      <top style="thin">
        <color indexed="8"/>
      </top>
      <bottom style="thin">
        <color indexed="8"/>
      </bottom>
      <diagonal/>
    </border>
    <border>
      <left style="thin">
        <color auto="1"/>
      </left>
      <right style="thin">
        <color indexed="8"/>
      </right>
      <top style="thin">
        <color indexed="8"/>
      </top>
      <bottom style="thin">
        <color auto="1"/>
      </bottom>
      <diagonal/>
    </border>
    <border>
      <left style="thin">
        <color indexed="64"/>
      </left>
      <right style="thin">
        <color indexed="64"/>
      </right>
      <top style="thin">
        <color indexed="64"/>
      </top>
      <bottom/>
      <diagonal/>
    </border>
    <border>
      <left style="thin">
        <color indexed="8"/>
      </left>
      <right/>
      <top style="thin">
        <color indexed="8"/>
      </top>
      <bottom style="thin">
        <color indexed="8"/>
      </bottom>
      <diagonal/>
    </border>
    <border>
      <left style="thin">
        <color indexed="8"/>
      </left>
      <right style="thin">
        <color indexed="8"/>
      </right>
      <top style="thin">
        <color indexed="8"/>
      </top>
      <bottom/>
      <diagonal/>
    </border>
    <border>
      <left style="thin">
        <color indexed="64"/>
      </left>
      <right/>
      <top/>
      <bottom/>
      <diagonal/>
    </border>
    <border>
      <left style="thin">
        <color auto="1"/>
      </left>
      <right/>
      <top style="thin">
        <color auto="1"/>
      </top>
      <bottom style="thin">
        <color auto="1"/>
      </bottom>
      <diagonal/>
    </border>
    <border>
      <left/>
      <right/>
      <top style="thin">
        <color indexed="64"/>
      </top>
      <bottom style="thin">
        <color indexed="64"/>
      </bottom>
      <diagonal/>
    </border>
    <border>
      <left style="thin">
        <color indexed="8"/>
      </left>
      <right/>
      <top style="thin">
        <color indexed="8"/>
      </top>
      <bottom style="thin">
        <color indexed="8"/>
      </bottom>
      <diagonal/>
    </border>
    <border>
      <left style="thin">
        <color indexed="8"/>
      </left>
      <right style="thin">
        <color indexed="8"/>
      </right>
      <top style="thin">
        <color indexed="8"/>
      </top>
      <bottom/>
      <diagonal/>
    </border>
    <border>
      <left style="thin">
        <color auto="1"/>
      </left>
      <right/>
      <top style="thin">
        <color auto="1"/>
      </top>
      <bottom style="thin">
        <color auto="1"/>
      </bottom>
      <diagonal/>
    </border>
    <border>
      <left/>
      <right/>
      <top style="thin">
        <color indexed="64"/>
      </top>
      <bottom style="thin">
        <color indexed="64"/>
      </bottom>
      <diagonal/>
    </border>
    <border>
      <left style="thin">
        <color indexed="8"/>
      </left>
      <right/>
      <top style="thin">
        <color indexed="8"/>
      </top>
      <bottom style="thin">
        <color indexed="8"/>
      </bottom>
      <diagonal/>
    </border>
    <border>
      <left style="thin">
        <color indexed="8"/>
      </left>
      <right style="thin">
        <color indexed="8"/>
      </right>
      <top style="thin">
        <color indexed="8"/>
      </top>
      <bottom/>
      <diagonal/>
    </border>
    <border>
      <left style="thin">
        <color auto="1"/>
      </left>
      <right/>
      <top style="thin">
        <color auto="1"/>
      </top>
      <bottom style="thin">
        <color auto="1"/>
      </bottom>
      <diagonal/>
    </border>
    <border>
      <left/>
      <right/>
      <top style="thin">
        <color indexed="64"/>
      </top>
      <bottom style="thin">
        <color indexed="64"/>
      </bottom>
      <diagonal/>
    </border>
    <border>
      <left style="thin">
        <color indexed="8"/>
      </left>
      <right/>
      <top style="thin">
        <color indexed="8"/>
      </top>
      <bottom style="thin">
        <color indexed="8"/>
      </bottom>
      <diagonal/>
    </border>
    <border>
      <left style="thin">
        <color indexed="8"/>
      </left>
      <right style="thin">
        <color indexed="8"/>
      </right>
      <top style="thin">
        <color indexed="8"/>
      </top>
      <bottom/>
      <diagonal/>
    </border>
    <border>
      <left style="thin">
        <color auto="1"/>
      </left>
      <right/>
      <top style="thin">
        <color auto="1"/>
      </top>
      <bottom style="thin">
        <color auto="1"/>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top style="thin">
        <color indexed="64"/>
      </top>
      <bottom/>
      <diagonal/>
    </border>
  </borders>
  <cellStyleXfs count="67">
    <xf numFmtId="0" fontId="0" fillId="0" borderId="0"/>
    <xf numFmtId="43" fontId="1" fillId="0" borderId="0" applyFont="0" applyFill="0" applyBorder="0" applyAlignment="0" applyProtection="0"/>
    <xf numFmtId="9" fontId="1" fillId="0" borderId="0" applyFont="0" applyFill="0" applyBorder="0" applyAlignment="0" applyProtection="0"/>
    <xf numFmtId="0" fontId="2" fillId="0" borderId="0" applyNumberFormat="0" applyFont="0" applyFill="0" applyBorder="0" applyAlignment="0" applyProtection="0"/>
    <xf numFmtId="0" fontId="1" fillId="0" borderId="0"/>
    <xf numFmtId="0" fontId="1" fillId="0" borderId="0"/>
    <xf numFmtId="0" fontId="16" fillId="0" borderId="0"/>
    <xf numFmtId="43" fontId="1" fillId="0" borderId="0" applyFont="0" applyFill="0" applyBorder="0" applyAlignment="0" applyProtection="0"/>
    <xf numFmtId="0" fontId="2" fillId="0" borderId="0" applyNumberFormat="0" applyFont="0" applyFill="0" applyBorder="0" applyAlignment="0" applyProtection="0"/>
    <xf numFmtId="174" fontId="1" fillId="0" borderId="0" applyNumberFormat="0" applyFill="0" applyBorder="0" applyAlignment="0" applyProtection="0"/>
    <xf numFmtId="9" fontId="1" fillId="0" borderId="0" applyFont="0" applyFill="0" applyBorder="0" applyAlignment="0" applyProtection="0"/>
    <xf numFmtId="43" fontId="16" fillId="0" borderId="0" applyFont="0" applyFill="0" applyBorder="0" applyAlignment="0" applyProtection="0"/>
    <xf numFmtId="0" fontId="1" fillId="0" borderId="0"/>
    <xf numFmtId="179" fontId="2" fillId="0" borderId="0" applyFont="0" applyFill="0" applyBorder="0" applyAlignment="0" applyProtection="0"/>
    <xf numFmtId="174" fontId="1" fillId="0" borderId="0"/>
    <xf numFmtId="0" fontId="2" fillId="0" borderId="0"/>
    <xf numFmtId="0" fontId="1" fillId="0" borderId="0"/>
    <xf numFmtId="164" fontId="2" fillId="0" borderId="0" applyNumberFormat="0" applyFont="0" applyFill="0" applyBorder="0" applyAlignment="0" applyProtection="0"/>
    <xf numFmtId="0" fontId="30" fillId="0" borderId="0"/>
    <xf numFmtId="174" fontId="1" fillId="0" borderId="0"/>
    <xf numFmtId="192" fontId="1" fillId="0" borderId="0"/>
    <xf numFmtId="174" fontId="2" fillId="0" borderId="0" applyNumberFormat="0" applyFill="0" applyBorder="0" applyAlignment="0" applyProtection="0"/>
    <xf numFmtId="174" fontId="2" fillId="0" borderId="0" applyNumberFormat="0" applyFill="0" applyBorder="0" applyAlignment="0" applyProtection="0"/>
    <xf numFmtId="193" fontId="34" fillId="0" borderId="0">
      <alignment horizontal="right"/>
    </xf>
    <xf numFmtId="0" fontId="2" fillId="0" borderId="0"/>
    <xf numFmtId="164" fontId="1" fillId="0" borderId="0" applyFont="0" applyFill="0" applyBorder="0" applyAlignment="0" applyProtection="0"/>
    <xf numFmtId="43" fontId="1" fillId="0" borderId="0" applyFont="0" applyFill="0" applyBorder="0" applyAlignment="0" applyProtection="0"/>
    <xf numFmtId="179" fontId="2"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43" fontId="2" fillId="0" borderId="0" applyFont="0" applyFill="0" applyBorder="0" applyAlignment="0" applyProtection="0"/>
    <xf numFmtId="0" fontId="1" fillId="0" borderId="0"/>
    <xf numFmtId="164" fontId="36" fillId="0" borderId="0" applyFont="0" applyFill="0" applyBorder="0" applyAlignment="0" applyProtection="0"/>
    <xf numFmtId="43" fontId="36" fillId="0" borderId="0" applyFont="0" applyFill="0" applyBorder="0" applyAlignment="0" applyProtection="0"/>
    <xf numFmtId="43" fontId="1" fillId="0" borderId="0" applyFont="0" applyFill="0" applyBorder="0" applyAlignment="0" applyProtection="0"/>
    <xf numFmtId="0" fontId="37" fillId="0" borderId="0" applyNumberFormat="0" applyFill="0" applyBorder="0" applyAlignment="0" applyProtection="0"/>
    <xf numFmtId="164"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6" fillId="0" borderId="0" applyFont="0" applyFill="0" applyBorder="0" applyAlignment="0" applyProtection="0"/>
    <xf numFmtId="43" fontId="2" fillId="0" borderId="0" applyNumberFormat="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36"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174" fontId="2" fillId="0" borderId="0" applyNumberFormat="0" applyFill="0" applyBorder="0" applyAlignment="0" applyProtection="0"/>
    <xf numFmtId="174" fontId="1" fillId="0" borderId="0" applyNumberFormat="0" applyFill="0" applyBorder="0" applyAlignment="0" applyProtection="0"/>
    <xf numFmtId="164" fontId="44" fillId="0" borderId="0" applyFont="0" applyFill="0" applyBorder="0" applyAlignment="0" applyProtection="0"/>
    <xf numFmtId="192" fontId="1" fillId="0" borderId="0"/>
    <xf numFmtId="192" fontId="1" fillId="0" borderId="0"/>
    <xf numFmtId="192" fontId="2" fillId="0" borderId="0" applyNumberFormat="0" applyFill="0" applyBorder="0" applyAlignment="0" applyProtection="0"/>
    <xf numFmtId="192" fontId="2" fillId="0" borderId="0" applyNumberFormat="0" applyFill="0" applyBorder="0" applyAlignment="0" applyProtection="0"/>
    <xf numFmtId="192" fontId="1" fillId="0" borderId="0"/>
    <xf numFmtId="192" fontId="1" fillId="0" borderId="0"/>
    <xf numFmtId="192" fontId="1" fillId="0" borderId="0"/>
    <xf numFmtId="192" fontId="1" fillId="0" borderId="0"/>
    <xf numFmtId="192" fontId="1" fillId="0" borderId="0"/>
    <xf numFmtId="192" fontId="1" fillId="0" borderId="0"/>
    <xf numFmtId="192" fontId="1" fillId="0" borderId="0"/>
    <xf numFmtId="9" fontId="44" fillId="0" borderId="0" applyFont="0" applyFill="0" applyBorder="0" applyAlignment="0" applyProtection="0"/>
    <xf numFmtId="174" fontId="30" fillId="0" borderId="0"/>
    <xf numFmtId="0" fontId="1" fillId="0" borderId="0"/>
    <xf numFmtId="43" fontId="16" fillId="0" borderId="0" applyFont="0" applyFill="0" applyBorder="0" applyAlignment="0" applyProtection="0"/>
    <xf numFmtId="192" fontId="2" fillId="0" borderId="0"/>
  </cellStyleXfs>
  <cellXfs count="1621">
    <xf numFmtId="0" fontId="0" fillId="0" borderId="0" xfId="0"/>
    <xf numFmtId="0" fontId="2" fillId="0" borderId="0" xfId="3" applyNumberFormat="1" applyFont="1" applyFill="1" applyBorder="1" applyAlignment="1"/>
    <xf numFmtId="0" fontId="4" fillId="2" borderId="0" xfId="3" applyFont="1" applyFill="1" applyAlignment="1">
      <alignment vertical="center"/>
    </xf>
    <xf numFmtId="0" fontId="6" fillId="0" borderId="0" xfId="3" applyNumberFormat="1" applyFont="1" applyFill="1" applyBorder="1" applyAlignment="1"/>
    <xf numFmtId="0" fontId="0" fillId="0" borderId="0" xfId="0" applyBorder="1"/>
    <xf numFmtId="49" fontId="7" fillId="0" borderId="0" xfId="0" applyNumberFormat="1" applyFont="1" applyFill="1" applyBorder="1" applyAlignment="1">
      <alignment horizontal="left"/>
    </xf>
    <xf numFmtId="0" fontId="12" fillId="0" borderId="11" xfId="0" applyFont="1" applyFill="1" applyBorder="1" applyAlignment="1">
      <alignment horizontal="center" vertical="center" wrapText="1"/>
    </xf>
    <xf numFmtId="0" fontId="10" fillId="0" borderId="4" xfId="0" applyFont="1" applyFill="1" applyBorder="1"/>
    <xf numFmtId="0" fontId="13" fillId="0" borderId="6" xfId="0" applyFont="1" applyFill="1" applyBorder="1" applyAlignment="1">
      <alignment horizontal="left" vertical="top"/>
    </xf>
    <xf numFmtId="0" fontId="12" fillId="0" borderId="0" xfId="0" applyFont="1" applyFill="1" applyAlignment="1">
      <alignment horizontal="left"/>
    </xf>
    <xf numFmtId="49" fontId="7" fillId="0" borderId="0" xfId="0" applyNumberFormat="1" applyFont="1" applyFill="1" applyBorder="1" applyAlignment="1">
      <alignment vertical="top" wrapText="1"/>
    </xf>
    <xf numFmtId="0" fontId="8" fillId="0" borderId="0" xfId="0" applyFont="1" applyFill="1" applyAlignment="1">
      <alignment vertical="top" wrapText="1"/>
    </xf>
    <xf numFmtId="0" fontId="8" fillId="0" borderId="0" xfId="0" applyFont="1" applyFill="1" applyBorder="1" applyAlignment="1">
      <alignment vertical="top" wrapText="1"/>
    </xf>
    <xf numFmtId="0" fontId="0" fillId="0" borderId="0" xfId="0" applyFill="1" applyBorder="1"/>
    <xf numFmtId="2" fontId="10" fillId="0" borderId="0" xfId="0" applyNumberFormat="1" applyFont="1"/>
    <xf numFmtId="166" fontId="0" fillId="0" borderId="0" xfId="0" applyNumberFormat="1" applyFill="1" applyBorder="1"/>
    <xf numFmtId="166" fontId="0" fillId="0" borderId="0" xfId="0" applyNumberFormat="1" applyFill="1"/>
    <xf numFmtId="166" fontId="0" fillId="0" borderId="0" xfId="0" applyNumberFormat="1"/>
    <xf numFmtId="0" fontId="0" fillId="0" borderId="0" xfId="0" applyFill="1"/>
    <xf numFmtId="49" fontId="7" fillId="0" borderId="0" xfId="0" applyNumberFormat="1" applyFont="1" applyFill="1" applyAlignment="1">
      <alignment vertical="center"/>
    </xf>
    <xf numFmtId="3" fontId="7" fillId="0" borderId="0" xfId="0" applyNumberFormat="1" applyFont="1" applyFill="1" applyBorder="1" applyAlignment="1">
      <alignment horizontal="right"/>
    </xf>
    <xf numFmtId="3" fontId="0" fillId="0" borderId="0" xfId="0" applyNumberFormat="1"/>
    <xf numFmtId="0" fontId="8" fillId="0" borderId="0" xfId="0" applyFont="1" applyFill="1" applyBorder="1" applyAlignment="1">
      <alignment horizontal="right"/>
    </xf>
    <xf numFmtId="167" fontId="8" fillId="0" borderId="0" xfId="0" applyNumberFormat="1" applyFont="1" applyFill="1" applyBorder="1" applyAlignment="1">
      <alignment horizontal="right"/>
    </xf>
    <xf numFmtId="49" fontId="8" fillId="0" borderId="0" xfId="0" applyNumberFormat="1" applyFont="1" applyFill="1" applyBorder="1" applyAlignment="1">
      <alignment horizontal="left"/>
    </xf>
    <xf numFmtId="165" fontId="8" fillId="0" borderId="0" xfId="0" applyNumberFormat="1" applyFont="1" applyFill="1" applyBorder="1" applyAlignment="1">
      <alignment horizontal="right"/>
    </xf>
    <xf numFmtId="49" fontId="7" fillId="0" borderId="0" xfId="0" applyNumberFormat="1" applyFont="1" applyFill="1" applyAlignment="1"/>
    <xf numFmtId="49" fontId="8" fillId="0" borderId="0" xfId="0" applyNumberFormat="1" applyFont="1" applyFill="1" applyBorder="1" applyAlignment="1">
      <alignment horizontal="left" vertical="center"/>
    </xf>
    <xf numFmtId="1" fontId="8" fillId="0" borderId="0" xfId="0" applyNumberFormat="1" applyFont="1" applyFill="1" applyBorder="1" applyAlignment="1">
      <alignment horizontal="right"/>
    </xf>
    <xf numFmtId="49" fontId="8" fillId="0" borderId="0" xfId="0" applyNumberFormat="1" applyFont="1" applyFill="1" applyBorder="1" applyAlignment="1"/>
    <xf numFmtId="0" fontId="14" fillId="0" borderId="0" xfId="0" applyFont="1" applyBorder="1" applyAlignment="1">
      <alignment horizontal="right" vertical="center" wrapText="1"/>
    </xf>
    <xf numFmtId="3" fontId="14" fillId="0" borderId="0" xfId="0" applyNumberFormat="1" applyFont="1" applyBorder="1" applyAlignment="1">
      <alignment horizontal="right" vertical="center" wrapText="1"/>
    </xf>
    <xf numFmtId="3" fontId="0" fillId="0" borderId="0" xfId="0" applyNumberFormat="1" applyFill="1"/>
    <xf numFmtId="49" fontId="8" fillId="0" borderId="0" xfId="5" applyNumberFormat="1" applyFont="1" applyFill="1" applyBorder="1" applyAlignment="1">
      <alignment horizontal="left" vertical="center"/>
    </xf>
    <xf numFmtId="1" fontId="8" fillId="0" borderId="0" xfId="5" applyNumberFormat="1" applyFont="1" applyFill="1" applyBorder="1" applyAlignment="1">
      <alignment horizontal="right"/>
    </xf>
    <xf numFmtId="17" fontId="8" fillId="0" borderId="0" xfId="5" applyNumberFormat="1" applyFont="1" applyFill="1" applyBorder="1" applyAlignment="1">
      <alignment horizontal="left" vertical="center"/>
    </xf>
    <xf numFmtId="1" fontId="10" fillId="0" borderId="0" xfId="0" applyNumberFormat="1" applyFont="1"/>
    <xf numFmtId="3" fontId="10" fillId="0" borderId="0" xfId="0" applyNumberFormat="1" applyFont="1"/>
    <xf numFmtId="165" fontId="7" fillId="0" borderId="4" xfId="0" applyNumberFormat="1" applyFont="1" applyFill="1" applyBorder="1" applyAlignment="1">
      <alignment horizontal="right" vertical="top"/>
    </xf>
    <xf numFmtId="165" fontId="0" fillId="0" borderId="0" xfId="0" applyNumberFormat="1"/>
    <xf numFmtId="165" fontId="8" fillId="0" borderId="4" xfId="0" applyNumberFormat="1" applyFont="1" applyFill="1" applyBorder="1" applyAlignment="1">
      <alignment horizontal="right" vertical="top"/>
    </xf>
    <xf numFmtId="0" fontId="2" fillId="0" borderId="0" xfId="0" applyFont="1" applyFill="1" applyBorder="1" applyAlignment="1">
      <alignment vertical="center" wrapText="1"/>
    </xf>
    <xf numFmtId="165" fontId="8" fillId="0" borderId="0" xfId="0" applyNumberFormat="1" applyFont="1" applyFill="1" applyAlignment="1">
      <alignment horizontal="left" vertical="top"/>
    </xf>
    <xf numFmtId="169" fontId="8" fillId="0" borderId="0" xfId="0" applyNumberFormat="1" applyFont="1" applyFill="1" applyBorder="1" applyAlignment="1">
      <alignment horizontal="left" vertical="top"/>
    </xf>
    <xf numFmtId="165" fontId="8" fillId="0" borderId="0" xfId="0" applyNumberFormat="1" applyFont="1" applyFill="1" applyBorder="1" applyAlignment="1">
      <alignment horizontal="right" vertical="top"/>
    </xf>
    <xf numFmtId="0" fontId="6" fillId="0" borderId="0" xfId="0" applyFont="1" applyFill="1" applyBorder="1" applyAlignment="1">
      <alignment horizontal="right" vertical="center" wrapText="1"/>
    </xf>
    <xf numFmtId="168" fontId="6" fillId="0" borderId="0" xfId="7" applyNumberFormat="1" applyFont="1" applyFill="1" applyBorder="1" applyAlignment="1">
      <alignment horizontal="right" vertical="center" wrapText="1"/>
    </xf>
    <xf numFmtId="49" fontId="8" fillId="0" borderId="0" xfId="6" applyNumberFormat="1" applyFont="1" applyFill="1" applyBorder="1" applyAlignment="1">
      <alignment horizontal="left" vertical="center"/>
    </xf>
    <xf numFmtId="165" fontId="8" fillId="0" borderId="0" xfId="6" applyNumberFormat="1" applyFont="1" applyFill="1" applyBorder="1" applyAlignment="1">
      <alignment horizontal="right" vertical="center"/>
    </xf>
    <xf numFmtId="168" fontId="11" fillId="0" borderId="0" xfId="7" applyNumberFormat="1" applyFont="1" applyFill="1" applyBorder="1" applyAlignment="1">
      <alignment horizontal="right" vertical="center" wrapText="1"/>
    </xf>
    <xf numFmtId="0" fontId="8" fillId="0" borderId="0" xfId="6" applyFont="1" applyFill="1" applyBorder="1" applyAlignment="1">
      <alignment vertical="center"/>
    </xf>
    <xf numFmtId="1" fontId="8" fillId="0" borderId="0" xfId="6" applyNumberFormat="1" applyFont="1" applyFill="1" applyBorder="1" applyAlignment="1">
      <alignment vertical="center"/>
    </xf>
    <xf numFmtId="2" fontId="2" fillId="0" borderId="0" xfId="0" applyNumberFormat="1" applyFont="1" applyFill="1" applyBorder="1" applyAlignment="1">
      <alignment horizontal="center" wrapText="1"/>
    </xf>
    <xf numFmtId="49" fontId="7" fillId="0" borderId="4" xfId="0" applyNumberFormat="1" applyFont="1" applyFill="1" applyBorder="1" applyAlignment="1">
      <alignment horizontal="center" vertical="top" wrapText="1"/>
    </xf>
    <xf numFmtId="169" fontId="8" fillId="0" borderId="0" xfId="5" applyNumberFormat="1" applyFont="1" applyFill="1" applyBorder="1" applyAlignment="1">
      <alignment horizontal="left" vertical="top" wrapText="1"/>
    </xf>
    <xf numFmtId="49" fontId="17" fillId="0" borderId="4" xfId="0" applyNumberFormat="1" applyFont="1" applyFill="1" applyBorder="1" applyAlignment="1">
      <alignment horizontal="center" vertical="top" wrapText="1"/>
    </xf>
    <xf numFmtId="0" fontId="11" fillId="0" borderId="0" xfId="0" applyNumberFormat="1" applyFont="1" applyFill="1" applyBorder="1" applyAlignment="1"/>
    <xf numFmtId="49" fontId="7" fillId="0" borderId="0" xfId="0" applyNumberFormat="1" applyFont="1" applyFill="1" applyBorder="1" applyAlignment="1">
      <alignment vertical="center"/>
    </xf>
    <xf numFmtId="49" fontId="7" fillId="0" borderId="0" xfId="0" applyNumberFormat="1" applyFont="1" applyFill="1" applyBorder="1" applyAlignment="1">
      <alignment horizontal="center" vertical="top" wrapText="1"/>
    </xf>
    <xf numFmtId="0" fontId="7" fillId="0" borderId="0" xfId="0" applyFont="1" applyFill="1" applyBorder="1" applyAlignment="1">
      <alignment horizontal="right"/>
    </xf>
    <xf numFmtId="1" fontId="7" fillId="0" borderId="0" xfId="0" applyNumberFormat="1" applyFont="1" applyFill="1" applyBorder="1" applyAlignment="1">
      <alignment horizontal="right" vertical="top"/>
    </xf>
    <xf numFmtId="1" fontId="10" fillId="0" borderId="0" xfId="5" applyNumberFormat="1" applyFont="1" applyFill="1" applyBorder="1" applyAlignment="1">
      <alignment horizontal="right" vertical="center" wrapText="1"/>
    </xf>
    <xf numFmtId="1" fontId="10" fillId="0" borderId="0" xfId="0" applyNumberFormat="1" applyFont="1" applyFill="1" applyBorder="1" applyAlignment="1">
      <alignment horizontal="right" vertical="top"/>
    </xf>
    <xf numFmtId="165" fontId="10" fillId="0" borderId="0" xfId="0" applyNumberFormat="1" applyFont="1" applyFill="1" applyBorder="1" applyAlignment="1">
      <alignment horizontal="right" vertical="top"/>
    </xf>
    <xf numFmtId="49" fontId="7" fillId="0" borderId="0" xfId="0" applyNumberFormat="1" applyFont="1" applyFill="1" applyAlignment="1">
      <alignment horizontal="left"/>
    </xf>
    <xf numFmtId="169" fontId="10" fillId="0" borderId="0" xfId="0" applyNumberFormat="1" applyFont="1" applyFill="1" applyBorder="1" applyAlignment="1">
      <alignment horizontal="left" vertical="top"/>
    </xf>
    <xf numFmtId="1" fontId="11" fillId="0" borderId="0" xfId="0" applyNumberFormat="1" applyFont="1" applyFill="1" applyBorder="1" applyAlignment="1">
      <alignment horizontal="right" wrapText="1"/>
    </xf>
    <xf numFmtId="1" fontId="0" fillId="0" borderId="0" xfId="0" applyNumberFormat="1" applyFont="1" applyFill="1" applyBorder="1" applyAlignment="1"/>
    <xf numFmtId="1" fontId="11" fillId="0" borderId="0" xfId="0" applyNumberFormat="1" applyFont="1" applyFill="1" applyBorder="1" applyAlignment="1"/>
    <xf numFmtId="0" fontId="11" fillId="0" borderId="0" xfId="0" applyFont="1" applyFill="1" applyBorder="1" applyAlignment="1">
      <alignment horizontal="right" wrapText="1"/>
    </xf>
    <xf numFmtId="1" fontId="10" fillId="0" borderId="0" xfId="0" applyNumberFormat="1" applyFont="1" applyFill="1" applyBorder="1" applyAlignment="1">
      <alignment horizontal="right"/>
    </xf>
    <xf numFmtId="1" fontId="11" fillId="0" borderId="0" xfId="5" applyNumberFormat="1" applyFont="1" applyFill="1" applyBorder="1" applyAlignment="1">
      <alignment horizontal="right" vertical="center" wrapText="1"/>
    </xf>
    <xf numFmtId="0" fontId="8" fillId="0" borderId="0" xfId="0" applyFont="1" applyFill="1" applyAlignment="1">
      <alignment vertical="center"/>
    </xf>
    <xf numFmtId="49" fontId="7" fillId="0" borderId="8" xfId="0" applyNumberFormat="1" applyFont="1" applyFill="1" applyBorder="1" applyAlignment="1">
      <alignment horizontal="center" vertical="center" wrapText="1"/>
    </xf>
    <xf numFmtId="3" fontId="7" fillId="0" borderId="4" xfId="0" applyNumberFormat="1" applyFont="1" applyFill="1" applyBorder="1" applyAlignment="1">
      <alignment horizontal="right" vertical="center"/>
    </xf>
    <xf numFmtId="3" fontId="8" fillId="0" borderId="4" xfId="0" applyNumberFormat="1" applyFont="1" applyFill="1" applyBorder="1" applyAlignment="1">
      <alignment horizontal="right" vertical="center"/>
    </xf>
    <xf numFmtId="1" fontId="6" fillId="0" borderId="0" xfId="5" applyNumberFormat="1" applyFont="1" applyFill="1" applyBorder="1" applyAlignment="1">
      <alignment horizontal="right" vertical="center" wrapText="1"/>
    </xf>
    <xf numFmtId="3" fontId="8" fillId="0" borderId="0" xfId="0" applyNumberFormat="1" applyFont="1" applyFill="1" applyBorder="1" applyAlignment="1">
      <alignment horizontal="right" vertical="center"/>
    </xf>
    <xf numFmtId="169" fontId="8" fillId="0" borderId="0" xfId="0" applyNumberFormat="1" applyFont="1" applyFill="1" applyBorder="1" applyAlignment="1">
      <alignment horizontal="left" vertical="center"/>
    </xf>
    <xf numFmtId="169" fontId="8" fillId="0" borderId="0" xfId="5" applyNumberFormat="1" applyFont="1" applyFill="1" applyBorder="1" applyAlignment="1">
      <alignment horizontal="left" vertical="top"/>
    </xf>
    <xf numFmtId="169" fontId="5" fillId="0" borderId="0" xfId="5" applyNumberFormat="1" applyFont="1" applyFill="1" applyBorder="1" applyAlignment="1">
      <alignment horizontal="left" vertical="top" wrapText="1"/>
    </xf>
    <xf numFmtId="49" fontId="7" fillId="2" borderId="1" xfId="0" applyNumberFormat="1" applyFont="1" applyFill="1" applyBorder="1" applyAlignment="1">
      <alignment horizontal="center" vertical="center" wrapText="1"/>
    </xf>
    <xf numFmtId="3" fontId="7" fillId="2" borderId="12" xfId="0" applyNumberFormat="1" applyFont="1" applyFill="1" applyBorder="1" applyAlignment="1">
      <alignment horizontal="right"/>
    </xf>
    <xf numFmtId="3" fontId="8" fillId="0" borderId="0" xfId="0" applyNumberFormat="1" applyFont="1" applyFill="1" applyBorder="1" applyAlignment="1">
      <alignment horizontal="right"/>
    </xf>
    <xf numFmtId="3" fontId="8" fillId="0" borderId="0" xfId="5" applyNumberFormat="1" applyFont="1" applyFill="1" applyBorder="1" applyAlignment="1">
      <alignment horizontal="right"/>
    </xf>
    <xf numFmtId="49" fontId="17" fillId="0" borderId="8" xfId="0" applyNumberFormat="1" applyFont="1" applyFill="1" applyBorder="1" applyAlignment="1">
      <alignment horizontal="center" vertical="center" wrapText="1"/>
    </xf>
    <xf numFmtId="1" fontId="10" fillId="0" borderId="0" xfId="0" applyNumberFormat="1" applyFont="1" applyFill="1" applyBorder="1"/>
    <xf numFmtId="1" fontId="9" fillId="0" borderId="0" xfId="0" applyNumberFormat="1" applyFont="1" applyFill="1" applyBorder="1"/>
    <xf numFmtId="1" fontId="10" fillId="0" borderId="0" xfId="5" applyNumberFormat="1" applyFont="1" applyFill="1" applyBorder="1"/>
    <xf numFmtId="167" fontId="8" fillId="0" borderId="0" xfId="5" applyNumberFormat="1" applyFont="1" applyFill="1" applyBorder="1" applyAlignment="1">
      <alignment horizontal="right"/>
    </xf>
    <xf numFmtId="49" fontId="7" fillId="0" borderId="0" xfId="0" applyNumberFormat="1" applyFont="1" applyFill="1" applyBorder="1" applyAlignment="1"/>
    <xf numFmtId="0" fontId="4" fillId="0" borderId="0" xfId="0" applyFont="1" applyFill="1" applyAlignment="1">
      <alignment vertical="center"/>
    </xf>
    <xf numFmtId="0" fontId="11" fillId="0" borderId="0" xfId="8" applyNumberFormat="1" applyFont="1" applyFill="1" applyBorder="1" applyAlignment="1"/>
    <xf numFmtId="0" fontId="8" fillId="2" borderId="0" xfId="8" applyFont="1" applyFill="1" applyAlignment="1">
      <alignment vertical="center"/>
    </xf>
    <xf numFmtId="49" fontId="7" fillId="0" borderId="8" xfId="8" applyNumberFormat="1" applyFont="1" applyFill="1" applyBorder="1" applyAlignment="1">
      <alignment horizontal="center" vertical="center" wrapText="1"/>
    </xf>
    <xf numFmtId="49" fontId="7" fillId="2" borderId="1" xfId="8" applyNumberFormat="1" applyFont="1" applyFill="1" applyBorder="1" applyAlignment="1">
      <alignment horizontal="left"/>
    </xf>
    <xf numFmtId="165" fontId="7" fillId="2" borderId="1" xfId="8" applyNumberFormat="1" applyFont="1" applyFill="1" applyBorder="1" applyAlignment="1">
      <alignment horizontal="right"/>
    </xf>
    <xf numFmtId="0" fontId="7" fillId="2" borderId="0" xfId="8" applyFont="1" applyFill="1" applyAlignment="1">
      <alignment vertical="center"/>
    </xf>
    <xf numFmtId="165" fontId="7" fillId="2" borderId="0" xfId="8" applyNumberFormat="1" applyFont="1" applyFill="1" applyAlignment="1">
      <alignment vertical="center"/>
    </xf>
    <xf numFmtId="49" fontId="8" fillId="2" borderId="4" xfId="8" applyNumberFormat="1" applyFont="1" applyFill="1" applyBorder="1" applyAlignment="1">
      <alignment horizontal="left"/>
    </xf>
    <xf numFmtId="170" fontId="8" fillId="2" borderId="4" xfId="8" applyNumberFormat="1" applyFont="1" applyFill="1" applyBorder="1" applyAlignment="1">
      <alignment horizontal="right"/>
    </xf>
    <xf numFmtId="165" fontId="8" fillId="2" borderId="4" xfId="8" applyNumberFormat="1" applyFont="1" applyFill="1" applyBorder="1" applyAlignment="1">
      <alignment horizontal="right"/>
    </xf>
    <xf numFmtId="165" fontId="8" fillId="0" borderId="4" xfId="8" applyNumberFormat="1" applyFont="1" applyFill="1" applyBorder="1" applyAlignment="1">
      <alignment horizontal="right"/>
    </xf>
    <xf numFmtId="170" fontId="8" fillId="0" borderId="4" xfId="8" applyNumberFormat="1" applyFont="1" applyFill="1" applyBorder="1" applyAlignment="1">
      <alignment horizontal="right"/>
    </xf>
    <xf numFmtId="165" fontId="8" fillId="2" borderId="0" xfId="8" applyNumberFormat="1" applyFont="1" applyFill="1" applyAlignment="1">
      <alignment vertical="center"/>
    </xf>
    <xf numFmtId="165" fontId="11" fillId="0" borderId="0" xfId="8" applyNumberFormat="1" applyFont="1" applyFill="1" applyBorder="1" applyAlignment="1"/>
    <xf numFmtId="170" fontId="11" fillId="0" borderId="0" xfId="8" applyNumberFormat="1" applyFont="1" applyFill="1" applyBorder="1" applyAlignment="1"/>
    <xf numFmtId="172" fontId="11" fillId="0" borderId="0" xfId="8" applyNumberFormat="1" applyFont="1" applyFill="1" applyBorder="1" applyAlignment="1"/>
    <xf numFmtId="171" fontId="7" fillId="2" borderId="1" xfId="8" applyNumberFormat="1" applyFont="1" applyFill="1" applyBorder="1" applyAlignment="1">
      <alignment horizontal="right"/>
    </xf>
    <xf numFmtId="165" fontId="7" fillId="0" borderId="1" xfId="8" applyNumberFormat="1" applyFont="1" applyFill="1" applyBorder="1" applyAlignment="1">
      <alignment horizontal="right"/>
    </xf>
    <xf numFmtId="49" fontId="7" fillId="0" borderId="12" xfId="8" applyNumberFormat="1" applyFont="1" applyFill="1" applyBorder="1" applyAlignment="1">
      <alignment horizontal="left"/>
    </xf>
    <xf numFmtId="165" fontId="7" fillId="2" borderId="12" xfId="8" applyNumberFormat="1" applyFont="1" applyFill="1" applyBorder="1" applyAlignment="1">
      <alignment horizontal="right"/>
    </xf>
    <xf numFmtId="165" fontId="7" fillId="0" borderId="0" xfId="8" applyNumberFormat="1" applyFont="1" applyFill="1" applyAlignment="1">
      <alignment vertical="center"/>
    </xf>
    <xf numFmtId="0" fontId="7" fillId="0" borderId="0" xfId="8" applyFont="1" applyFill="1" applyAlignment="1">
      <alignment vertical="center"/>
    </xf>
    <xf numFmtId="49" fontId="7" fillId="2" borderId="0" xfId="8" applyNumberFormat="1" applyFont="1" applyFill="1" applyAlignment="1">
      <alignment horizontal="left"/>
    </xf>
    <xf numFmtId="3" fontId="11" fillId="0" borderId="0" xfId="8" applyNumberFormat="1" applyFont="1" applyFill="1" applyBorder="1" applyAlignment="1"/>
    <xf numFmtId="49" fontId="7" fillId="2" borderId="1" xfId="8" applyNumberFormat="1" applyFont="1" applyFill="1" applyBorder="1" applyAlignment="1">
      <alignment horizontal="right"/>
    </xf>
    <xf numFmtId="0" fontId="7" fillId="2" borderId="1" xfId="8" applyFont="1" applyFill="1" applyBorder="1" applyAlignment="1">
      <alignment horizontal="right"/>
    </xf>
    <xf numFmtId="173" fontId="7" fillId="2" borderId="1" xfId="8" applyNumberFormat="1" applyFont="1" applyFill="1" applyBorder="1" applyAlignment="1">
      <alignment horizontal="right"/>
    </xf>
    <xf numFmtId="165" fontId="8" fillId="6" borderId="4" xfId="9" applyNumberFormat="1" applyFont="1" applyFill="1" applyBorder="1" applyAlignment="1">
      <alignment horizontal="right"/>
    </xf>
    <xf numFmtId="1" fontId="8" fillId="6" borderId="4" xfId="9" applyNumberFormat="1" applyFont="1" applyFill="1" applyBorder="1" applyAlignment="1">
      <alignment horizontal="right"/>
    </xf>
    <xf numFmtId="171" fontId="8" fillId="6" borderId="4" xfId="9" applyNumberFormat="1" applyFont="1" applyFill="1" applyBorder="1" applyAlignment="1">
      <alignment horizontal="right"/>
    </xf>
    <xf numFmtId="165" fontId="8" fillId="0" borderId="4" xfId="9" applyNumberFormat="1" applyFont="1" applyFill="1" applyBorder="1" applyAlignment="1">
      <alignment horizontal="right"/>
    </xf>
    <xf numFmtId="1" fontId="8" fillId="0" borderId="4" xfId="9" applyNumberFormat="1" applyFont="1" applyFill="1" applyBorder="1" applyAlignment="1">
      <alignment horizontal="right"/>
    </xf>
    <xf numFmtId="171" fontId="8" fillId="0" borderId="4" xfId="9" applyNumberFormat="1" applyFont="1" applyFill="1" applyBorder="1" applyAlignment="1">
      <alignment horizontal="right"/>
    </xf>
    <xf numFmtId="43" fontId="15" fillId="0" borderId="0" xfId="1" applyFont="1" applyFill="1" applyBorder="1" applyAlignment="1">
      <alignment vertical="top" wrapText="1"/>
    </xf>
    <xf numFmtId="43" fontId="10" fillId="0" borderId="0" xfId="1" applyFont="1" applyFill="1" applyBorder="1" applyAlignment="1">
      <alignment vertical="top"/>
    </xf>
    <xf numFmtId="3" fontId="10" fillId="0" borderId="4" xfId="0" applyNumberFormat="1" applyFont="1" applyFill="1" applyBorder="1"/>
    <xf numFmtId="3" fontId="10" fillId="0" borderId="4" xfId="0" applyNumberFormat="1" applyFont="1" applyFill="1" applyBorder="1" applyAlignment="1">
      <alignment horizontal="right"/>
    </xf>
    <xf numFmtId="0" fontId="9" fillId="4" borderId="0" xfId="8" applyNumberFormat="1" applyFont="1" applyFill="1" applyBorder="1" applyAlignment="1">
      <alignment horizontal="right" vertical="center"/>
    </xf>
    <xf numFmtId="3" fontId="9" fillId="0" borderId="0" xfId="8" applyNumberFormat="1" applyFont="1" applyFill="1" applyBorder="1" applyAlignment="1">
      <alignment horizontal="right" vertical="center"/>
    </xf>
    <xf numFmtId="49" fontId="8" fillId="2" borderId="0" xfId="8" applyNumberFormat="1" applyFont="1" applyFill="1" applyBorder="1" applyAlignment="1">
      <alignment horizontal="left"/>
    </xf>
    <xf numFmtId="171" fontId="8" fillId="2" borderId="0" xfId="8" applyNumberFormat="1" applyFont="1" applyFill="1" applyBorder="1" applyAlignment="1">
      <alignment horizontal="right"/>
    </xf>
    <xf numFmtId="171" fontId="8" fillId="2" borderId="0" xfId="8" applyNumberFormat="1" applyFont="1" applyFill="1" applyAlignment="1">
      <alignment vertical="center"/>
    </xf>
    <xf numFmtId="49" fontId="20" fillId="2" borderId="0" xfId="8" applyNumberFormat="1" applyFont="1" applyFill="1" applyAlignment="1">
      <alignment horizontal="left"/>
    </xf>
    <xf numFmtId="174" fontId="21" fillId="0" borderId="0" xfId="9" applyFont="1" applyFill="1"/>
    <xf numFmtId="173" fontId="8" fillId="2" borderId="0" xfId="8" applyNumberFormat="1" applyFont="1" applyFill="1" applyAlignment="1">
      <alignment vertical="center"/>
    </xf>
    <xf numFmtId="171" fontId="11" fillId="0" borderId="0" xfId="8" applyNumberFormat="1" applyFont="1" applyFill="1" applyBorder="1" applyAlignment="1"/>
    <xf numFmtId="176" fontId="11" fillId="0" borderId="0" xfId="8" applyNumberFormat="1" applyFont="1" applyFill="1" applyBorder="1" applyAlignment="1"/>
    <xf numFmtId="178" fontId="8" fillId="2" borderId="0" xfId="8" applyNumberFormat="1" applyFont="1" applyFill="1" applyBorder="1" applyAlignment="1">
      <alignment horizontal="right"/>
    </xf>
    <xf numFmtId="178" fontId="8" fillId="0" borderId="0" xfId="8" applyNumberFormat="1" applyFont="1" applyFill="1" applyBorder="1" applyAlignment="1">
      <alignment horizontal="right"/>
    </xf>
    <xf numFmtId="177" fontId="7" fillId="2" borderId="0" xfId="8" applyNumberFormat="1" applyFont="1" applyFill="1" applyAlignment="1">
      <alignment vertical="center"/>
    </xf>
    <xf numFmtId="0" fontId="11" fillId="0" borderId="0" xfId="8" applyNumberFormat="1" applyFont="1" applyFill="1" applyBorder="1" applyAlignment="1">
      <alignment vertical="top"/>
    </xf>
    <xf numFmtId="2" fontId="8" fillId="2" borderId="0" xfId="8" applyNumberFormat="1" applyFont="1" applyFill="1" applyAlignment="1">
      <alignment vertical="top"/>
    </xf>
    <xf numFmtId="0" fontId="26" fillId="0" borderId="0" xfId="8" applyNumberFormat="1" applyFont="1" applyFill="1" applyBorder="1" applyAlignment="1">
      <alignment vertical="top"/>
    </xf>
    <xf numFmtId="0" fontId="27" fillId="2" borderId="0" xfId="8" applyFont="1" applyFill="1" applyAlignment="1">
      <alignment vertical="top"/>
    </xf>
    <xf numFmtId="49" fontId="8" fillId="2" borderId="0" xfId="8" applyNumberFormat="1" applyFont="1" applyFill="1" applyAlignment="1"/>
    <xf numFmtId="179" fontId="7" fillId="2" borderId="0" xfId="8" applyNumberFormat="1" applyFont="1" applyFill="1" applyAlignment="1">
      <alignment vertical="center"/>
    </xf>
    <xf numFmtId="49" fontId="7" fillId="2" borderId="0" xfId="8" applyNumberFormat="1" applyFont="1" applyFill="1" applyAlignment="1"/>
    <xf numFmtId="0" fontId="12" fillId="0" borderId="0" xfId="8" applyNumberFormat="1" applyFont="1" applyFill="1" applyBorder="1" applyAlignment="1"/>
    <xf numFmtId="189" fontId="7" fillId="2" borderId="0" xfId="8" applyNumberFormat="1" applyFont="1" applyFill="1" applyAlignment="1">
      <alignment vertical="center"/>
    </xf>
    <xf numFmtId="168" fontId="11" fillId="0" borderId="0" xfId="11" applyNumberFormat="1" applyFont="1" applyFill="1" applyBorder="1" applyAlignment="1"/>
    <xf numFmtId="168" fontId="11" fillId="0" borderId="0" xfId="11" applyNumberFormat="1" applyFont="1" applyFill="1" applyBorder="1" applyAlignment="1">
      <alignment vertical="top"/>
    </xf>
    <xf numFmtId="173" fontId="11" fillId="0" borderId="0" xfId="8" applyNumberFormat="1" applyFont="1" applyFill="1" applyBorder="1" applyAlignment="1">
      <alignment vertical="top"/>
    </xf>
    <xf numFmtId="173" fontId="11" fillId="0" borderId="0" xfId="8" applyNumberFormat="1" applyFont="1" applyFill="1" applyBorder="1" applyAlignment="1"/>
    <xf numFmtId="171" fontId="7" fillId="2" borderId="22" xfId="8" applyNumberFormat="1" applyFont="1" applyFill="1" applyBorder="1" applyAlignment="1">
      <alignment horizontal="right"/>
    </xf>
    <xf numFmtId="3" fontId="21" fillId="0" borderId="0" xfId="8" applyNumberFormat="1" applyFont="1" applyFill="1" applyBorder="1" applyAlignment="1">
      <alignment horizontal="justify" vertical="center"/>
    </xf>
    <xf numFmtId="3" fontId="7" fillId="2" borderId="0" xfId="8" applyNumberFormat="1" applyFont="1" applyFill="1" applyAlignment="1">
      <alignment vertical="center"/>
    </xf>
    <xf numFmtId="3" fontId="8" fillId="2" borderId="0" xfId="8" applyNumberFormat="1" applyFont="1" applyFill="1" applyAlignment="1">
      <alignment vertical="center"/>
    </xf>
    <xf numFmtId="3" fontId="8" fillId="0" borderId="4" xfId="8" applyNumberFormat="1" applyFont="1" applyFill="1" applyBorder="1" applyAlignment="1">
      <alignment horizontal="right"/>
    </xf>
    <xf numFmtId="3" fontId="11" fillId="0" borderId="0" xfId="17" applyNumberFormat="1" applyFont="1" applyFill="1" applyBorder="1" applyAlignment="1">
      <alignment horizontal="center"/>
    </xf>
    <xf numFmtId="3" fontId="11" fillId="0" borderId="0" xfId="18" applyNumberFormat="1" applyFont="1" applyFill="1" applyBorder="1" applyAlignment="1">
      <alignment horizontal="center"/>
    </xf>
    <xf numFmtId="165" fontId="8" fillId="0" borderId="0" xfId="8" applyNumberFormat="1" applyFont="1" applyFill="1" applyBorder="1" applyAlignment="1">
      <alignment horizontal="center"/>
    </xf>
    <xf numFmtId="178" fontId="7" fillId="2" borderId="0" xfId="8" applyNumberFormat="1" applyFont="1" applyFill="1" applyAlignment="1">
      <alignment vertical="center"/>
    </xf>
    <xf numFmtId="0" fontId="33" fillId="2" borderId="0" xfId="8" applyFont="1" applyFill="1" applyAlignment="1">
      <alignment vertical="center"/>
    </xf>
    <xf numFmtId="165" fontId="11" fillId="0" borderId="0" xfId="6" applyNumberFormat="1" applyFont="1" applyFill="1" applyBorder="1" applyAlignment="1">
      <alignment horizontal="right" vertical="center" wrapText="1"/>
    </xf>
    <xf numFmtId="1" fontId="0" fillId="0" borderId="0" xfId="0" applyNumberFormat="1"/>
    <xf numFmtId="3" fontId="10" fillId="0" borderId="4" xfId="0" applyNumberFormat="1" applyFont="1" applyFill="1" applyBorder="1" applyAlignment="1">
      <alignment horizontal="right" wrapText="1"/>
    </xf>
    <xf numFmtId="3" fontId="15" fillId="0" borderId="4" xfId="5" applyNumberFormat="1" applyFont="1" applyFill="1" applyBorder="1"/>
    <xf numFmtId="3" fontId="10" fillId="0" borderId="4" xfId="5" applyNumberFormat="1" applyFont="1" applyFill="1" applyBorder="1"/>
    <xf numFmtId="49" fontId="37" fillId="0" borderId="1" xfId="35" applyNumberFormat="1" applyFill="1" applyBorder="1" applyAlignment="1">
      <alignment horizontal="left"/>
    </xf>
    <xf numFmtId="3" fontId="8" fillId="0" borderId="31" xfId="0" applyNumberFormat="1" applyFont="1" applyFill="1" applyBorder="1" applyAlignment="1">
      <alignment horizontal="right" vertical="top"/>
    </xf>
    <xf numFmtId="3" fontId="10" fillId="0" borderId="31" xfId="0" applyNumberFormat="1" applyFont="1" applyBorder="1" applyAlignment="1">
      <alignment horizontal="right"/>
    </xf>
    <xf numFmtId="1" fontId="8" fillId="0" borderId="31" xfId="0" applyNumberFormat="1" applyFont="1" applyFill="1" applyBorder="1" applyAlignment="1">
      <alignment horizontal="right"/>
    </xf>
    <xf numFmtId="17" fontId="9" fillId="4" borderId="31" xfId="8" applyNumberFormat="1" applyFont="1" applyFill="1" applyBorder="1" applyAlignment="1">
      <alignment horizontal="left" vertical="center"/>
    </xf>
    <xf numFmtId="1" fontId="11" fillId="0" borderId="0" xfId="8" applyNumberFormat="1" applyFont="1" applyFill="1" applyBorder="1" applyAlignment="1"/>
    <xf numFmtId="185" fontId="7" fillId="2" borderId="31" xfId="8" applyNumberFormat="1" applyFont="1" applyFill="1" applyBorder="1" applyAlignment="1">
      <alignment horizontal="right"/>
    </xf>
    <xf numFmtId="1" fontId="8" fillId="0" borderId="31" xfId="8" applyNumberFormat="1" applyFont="1" applyFill="1" applyBorder="1" applyAlignment="1">
      <alignment horizontal="right"/>
    </xf>
    <xf numFmtId="179" fontId="8" fillId="0" borderId="31" xfId="8" applyNumberFormat="1" applyFont="1" applyFill="1" applyBorder="1" applyAlignment="1">
      <alignment horizontal="right"/>
    </xf>
    <xf numFmtId="165" fontId="7" fillId="2" borderId="31" xfId="8" applyNumberFormat="1" applyFont="1" applyFill="1" applyBorder="1" applyAlignment="1">
      <alignment horizontal="right"/>
    </xf>
    <xf numFmtId="179" fontId="8" fillId="2" borderId="31" xfId="8" applyNumberFormat="1" applyFont="1" applyFill="1" applyBorder="1" applyAlignment="1">
      <alignment horizontal="right" vertical="center" wrapText="1"/>
    </xf>
    <xf numFmtId="178" fontId="8" fillId="2" borderId="31" xfId="8" applyNumberFormat="1" applyFont="1" applyFill="1" applyBorder="1" applyAlignment="1">
      <alignment horizontal="right" vertical="center" wrapText="1"/>
    </xf>
    <xf numFmtId="183" fontId="8" fillId="2" borderId="31" xfId="8" applyNumberFormat="1" applyFont="1" applyFill="1" applyBorder="1" applyAlignment="1">
      <alignment horizontal="right" vertical="center" wrapText="1"/>
    </xf>
    <xf numFmtId="188" fontId="12" fillId="0" borderId="31" xfId="12" applyNumberFormat="1" applyFont="1" applyFill="1" applyBorder="1" applyAlignment="1">
      <alignment horizontal="center" vertical="top" wrapText="1"/>
    </xf>
    <xf numFmtId="188" fontId="12" fillId="0" borderId="31" xfId="12" applyNumberFormat="1" applyFont="1" applyFill="1" applyBorder="1" applyAlignment="1">
      <alignment horizontal="center" vertical="top"/>
    </xf>
    <xf numFmtId="3" fontId="8" fillId="0" borderId="31" xfId="15" applyNumberFormat="1" applyFont="1" applyFill="1" applyBorder="1" applyAlignment="1" applyProtection="1">
      <alignment horizontal="right" vertical="center" wrapText="1"/>
    </xf>
    <xf numFmtId="168" fontId="8" fillId="2" borderId="0" xfId="8" applyNumberFormat="1" applyFont="1" applyFill="1" applyAlignment="1">
      <alignment vertical="center"/>
    </xf>
    <xf numFmtId="3" fontId="7" fillId="0" borderId="31" xfId="15" applyNumberFormat="1" applyFont="1" applyFill="1" applyBorder="1" applyAlignment="1">
      <alignment horizontal="right" vertical="center" wrapText="1"/>
    </xf>
    <xf numFmtId="190" fontId="8" fillId="2" borderId="0" xfId="8" applyNumberFormat="1" applyFont="1" applyFill="1" applyBorder="1" applyAlignment="1">
      <alignment horizontal="right"/>
    </xf>
    <xf numFmtId="0" fontId="8" fillId="2" borderId="31" xfId="8" applyFont="1" applyFill="1" applyBorder="1" applyAlignment="1">
      <alignment horizontal="right" vertical="top"/>
    </xf>
    <xf numFmtId="173" fontId="8" fillId="2" borderId="31" xfId="8" applyNumberFormat="1" applyFont="1" applyFill="1" applyBorder="1" applyAlignment="1">
      <alignment horizontal="right" vertical="top"/>
    </xf>
    <xf numFmtId="3" fontId="7" fillId="0" borderId="31" xfId="17" applyNumberFormat="1" applyFont="1" applyFill="1" applyBorder="1" applyAlignment="1">
      <alignment horizontal="right"/>
    </xf>
    <xf numFmtId="3" fontId="7" fillId="0" borderId="31" xfId="8" applyNumberFormat="1" applyFont="1" applyFill="1" applyBorder="1" applyAlignment="1">
      <alignment horizontal="right"/>
    </xf>
    <xf numFmtId="49" fontId="7" fillId="2" borderId="0" xfId="8" applyNumberFormat="1" applyFont="1" applyFill="1" applyAlignment="1">
      <alignment vertical="center"/>
    </xf>
    <xf numFmtId="3" fontId="11" fillId="0" borderId="31" xfId="6" applyNumberFormat="1" applyFont="1" applyBorder="1" applyAlignment="1">
      <alignment vertical="center"/>
    </xf>
    <xf numFmtId="3" fontId="11" fillId="0" borderId="31" xfId="6" applyNumberFormat="1" applyFont="1" applyBorder="1" applyAlignment="1">
      <alignment horizontal="right"/>
    </xf>
    <xf numFmtId="3" fontId="10" fillId="0" borderId="31" xfId="0" applyNumberFormat="1" applyFont="1" applyBorder="1"/>
    <xf numFmtId="165" fontId="2" fillId="0" borderId="0" xfId="0" applyNumberFormat="1" applyFont="1" applyFill="1" applyBorder="1" applyAlignment="1">
      <alignment horizontal="center" vertical="center" wrapText="1"/>
    </xf>
    <xf numFmtId="3" fontId="38" fillId="0" borderId="31" xfId="34" applyNumberFormat="1" applyFont="1" applyFill="1" applyBorder="1" applyAlignment="1">
      <alignment horizontal="right"/>
    </xf>
    <xf numFmtId="0" fontId="13" fillId="4" borderId="31" xfId="8" applyNumberFormat="1" applyFont="1" applyFill="1" applyBorder="1" applyAlignment="1">
      <alignment vertical="center"/>
    </xf>
    <xf numFmtId="49" fontId="7" fillId="0" borderId="31" xfId="8" applyNumberFormat="1" applyFont="1" applyFill="1" applyBorder="1" applyAlignment="1">
      <alignment horizontal="center" vertical="center"/>
    </xf>
    <xf numFmtId="0" fontId="10" fillId="0" borderId="0" xfId="0" applyFont="1" applyBorder="1"/>
    <xf numFmtId="3" fontId="11" fillId="0" borderId="31" xfId="1" applyNumberFormat="1" applyFont="1" applyBorder="1" applyAlignment="1">
      <alignment horizontal="right" vertical="center"/>
    </xf>
    <xf numFmtId="3" fontId="11" fillId="0" borderId="31" xfId="0" applyNumberFormat="1" applyFont="1" applyFill="1" applyBorder="1" applyAlignment="1">
      <alignment vertical="center"/>
    </xf>
    <xf numFmtId="3" fontId="11" fillId="0" borderId="31" xfId="1" applyNumberFormat="1" applyFont="1" applyBorder="1" applyAlignment="1">
      <alignment horizontal="right"/>
    </xf>
    <xf numFmtId="3" fontId="11" fillId="0" borderId="31" xfId="0" applyNumberFormat="1" applyFont="1" applyBorder="1"/>
    <xf numFmtId="3" fontId="11" fillId="0" borderId="31" xfId="0" applyNumberFormat="1" applyFont="1" applyFill="1" applyBorder="1"/>
    <xf numFmtId="3" fontId="10" fillId="0" borderId="31" xfId="1" applyNumberFormat="1" applyFont="1" applyBorder="1" applyAlignment="1">
      <alignment horizontal="right"/>
    </xf>
    <xf numFmtId="3" fontId="11" fillId="0" borderId="31" xfId="6" applyNumberFormat="1" applyFont="1" applyBorder="1"/>
    <xf numFmtId="165" fontId="2" fillId="0" borderId="0" xfId="0" applyNumberFormat="1" applyFont="1" applyFill="1" applyBorder="1" applyAlignment="1">
      <alignment vertical="center" wrapText="1"/>
    </xf>
    <xf numFmtId="196" fontId="8" fillId="2" borderId="0" xfId="2" applyNumberFormat="1" applyFont="1" applyFill="1" applyAlignment="1">
      <alignment vertical="center"/>
    </xf>
    <xf numFmtId="49" fontId="7" fillId="0" borderId="0" xfId="0" applyNumberFormat="1" applyFont="1" applyFill="1" applyBorder="1" applyAlignment="1">
      <alignment horizontal="left"/>
    </xf>
    <xf numFmtId="0" fontId="0" fillId="0" borderId="31" xfId="0" applyBorder="1"/>
    <xf numFmtId="0" fontId="9" fillId="0" borderId="31" xfId="0" applyFont="1" applyFill="1" applyBorder="1" applyAlignment="1">
      <alignment horizontal="left" vertical="center"/>
    </xf>
    <xf numFmtId="165" fontId="8" fillId="0" borderId="31" xfId="0" applyNumberFormat="1" applyFont="1" applyFill="1" applyBorder="1" applyAlignment="1">
      <alignment horizontal="center"/>
    </xf>
    <xf numFmtId="0" fontId="10" fillId="0" borderId="31" xfId="0" applyFont="1" applyFill="1" applyBorder="1" applyAlignment="1">
      <alignment horizontal="center"/>
    </xf>
    <xf numFmtId="0" fontId="0" fillId="0" borderId="0" xfId="0" applyFont="1" applyBorder="1"/>
    <xf numFmtId="0" fontId="0" fillId="0" borderId="0" xfId="0" applyFont="1"/>
    <xf numFmtId="49" fontId="8" fillId="0" borderId="31" xfId="0" applyNumberFormat="1" applyFont="1" applyFill="1" applyBorder="1" applyAlignment="1">
      <alignment horizontal="left"/>
    </xf>
    <xf numFmtId="0" fontId="39" fillId="0" borderId="0" xfId="0" applyFont="1"/>
    <xf numFmtId="49" fontId="7" fillId="0" borderId="0" xfId="0" applyNumberFormat="1" applyFont="1" applyFill="1" applyBorder="1" applyAlignment="1">
      <alignment horizontal="center"/>
    </xf>
    <xf numFmtId="15" fontId="10" fillId="0" borderId="31" xfId="0" applyNumberFormat="1" applyFont="1" applyBorder="1" applyAlignment="1">
      <alignment horizontal="center" vertical="center"/>
    </xf>
    <xf numFmtId="49" fontId="7" fillId="2" borderId="0" xfId="8" applyNumberFormat="1" applyFont="1" applyFill="1" applyAlignment="1">
      <alignment vertical="top"/>
    </xf>
    <xf numFmtId="165" fontId="7" fillId="7" borderId="31" xfId="8" applyNumberFormat="1" applyFont="1" applyFill="1" applyBorder="1" applyAlignment="1">
      <alignment horizontal="right"/>
    </xf>
    <xf numFmtId="179" fontId="7" fillId="7" borderId="31" xfId="8" applyNumberFormat="1" applyFont="1" applyFill="1" applyBorder="1" applyAlignment="1">
      <alignment horizontal="right"/>
    </xf>
    <xf numFmtId="177" fontId="8" fillId="0" borderId="35" xfId="8" applyNumberFormat="1" applyFont="1" applyFill="1" applyBorder="1" applyAlignment="1">
      <alignment horizontal="right"/>
    </xf>
    <xf numFmtId="177" fontId="7" fillId="0" borderId="22" xfId="8" applyNumberFormat="1" applyFont="1" applyFill="1" applyBorder="1" applyAlignment="1">
      <alignment horizontal="right"/>
    </xf>
    <xf numFmtId="177" fontId="7" fillId="0" borderId="28" xfId="8" applyNumberFormat="1" applyFont="1" applyFill="1" applyBorder="1" applyAlignment="1">
      <alignment horizontal="right"/>
    </xf>
    <xf numFmtId="1" fontId="7" fillId="0" borderId="29" xfId="8" applyNumberFormat="1" applyFont="1" applyFill="1" applyBorder="1" applyAlignment="1">
      <alignment horizontal="right"/>
    </xf>
    <xf numFmtId="1" fontId="7" fillId="0" borderId="22" xfId="8" applyNumberFormat="1" applyFont="1" applyFill="1" applyBorder="1" applyAlignment="1">
      <alignment horizontal="right"/>
    </xf>
    <xf numFmtId="179" fontId="7" fillId="0" borderId="22" xfId="8" applyNumberFormat="1" applyFont="1" applyFill="1" applyBorder="1" applyAlignment="1">
      <alignment horizontal="right"/>
    </xf>
    <xf numFmtId="0" fontId="8" fillId="0" borderId="0" xfId="8" applyFont="1" applyFill="1" applyAlignment="1">
      <alignment vertical="center"/>
    </xf>
    <xf numFmtId="186" fontId="9" fillId="0" borderId="31" xfId="8" applyNumberFormat="1" applyFont="1" applyFill="1" applyBorder="1" applyAlignment="1">
      <alignment horizontal="right" vertical="center"/>
    </xf>
    <xf numFmtId="168" fontId="13" fillId="7" borderId="31" xfId="11" applyNumberFormat="1" applyFont="1" applyFill="1" applyBorder="1" applyAlignment="1" applyProtection="1">
      <alignment horizontal="right" vertical="center" wrapText="1"/>
    </xf>
    <xf numFmtId="49" fontId="7" fillId="2" borderId="0" xfId="8" applyNumberFormat="1" applyFont="1" applyFill="1" applyAlignment="1">
      <alignment vertical="top" wrapText="1"/>
    </xf>
    <xf numFmtId="197" fontId="8" fillId="2" borderId="31" xfId="8" applyNumberFormat="1" applyFont="1" applyFill="1" applyBorder="1" applyAlignment="1">
      <alignment horizontal="right"/>
    </xf>
    <xf numFmtId="0" fontId="8" fillId="0" borderId="31" xfId="0" applyFont="1" applyFill="1" applyBorder="1" applyAlignment="1">
      <alignment horizontal="right"/>
    </xf>
    <xf numFmtId="3" fontId="8" fillId="0" borderId="31" xfId="0" applyNumberFormat="1" applyFont="1" applyFill="1" applyBorder="1" applyAlignment="1">
      <alignment horizontal="right" vertical="center"/>
    </xf>
    <xf numFmtId="0" fontId="10" fillId="0" borderId="31" xfId="0" applyFont="1" applyFill="1" applyBorder="1"/>
    <xf numFmtId="3" fontId="10" fillId="0" borderId="31" xfId="0" applyNumberFormat="1" applyFont="1" applyFill="1" applyBorder="1"/>
    <xf numFmtId="3" fontId="10" fillId="0" borderId="31" xfId="0" applyNumberFormat="1" applyFont="1" applyFill="1" applyBorder="1" applyAlignment="1">
      <alignment horizontal="right"/>
    </xf>
    <xf numFmtId="0" fontId="8" fillId="0" borderId="31" xfId="0" applyFont="1" applyFill="1" applyBorder="1" applyAlignment="1">
      <alignment horizontal="right" vertical="top"/>
    </xf>
    <xf numFmtId="1" fontId="10" fillId="0" borderId="31" xfId="0" applyNumberFormat="1" applyFont="1" applyFill="1" applyBorder="1"/>
    <xf numFmtId="165" fontId="7" fillId="8" borderId="4" xfId="0" applyNumberFormat="1" applyFont="1" applyFill="1" applyBorder="1" applyAlignment="1">
      <alignment horizontal="right" vertical="top"/>
    </xf>
    <xf numFmtId="168" fontId="17" fillId="8" borderId="4" xfId="1" applyNumberFormat="1" applyFont="1" applyFill="1" applyBorder="1" applyAlignment="1">
      <alignment vertical="top" wrapText="1"/>
    </xf>
    <xf numFmtId="3" fontId="7" fillId="8" borderId="31" xfId="0" applyNumberFormat="1" applyFont="1" applyFill="1" applyBorder="1" applyAlignment="1">
      <alignment horizontal="right" vertical="top"/>
    </xf>
    <xf numFmtId="3" fontId="7" fillId="8" borderId="4" xfId="0" applyNumberFormat="1" applyFont="1" applyFill="1" applyBorder="1" applyAlignment="1">
      <alignment horizontal="right" vertical="top"/>
    </xf>
    <xf numFmtId="3" fontId="7" fillId="8" borderId="4" xfId="0" applyNumberFormat="1" applyFont="1" applyFill="1" applyBorder="1" applyAlignment="1">
      <alignment horizontal="right" vertical="center"/>
    </xf>
    <xf numFmtId="3" fontId="7" fillId="8" borderId="4" xfId="0" applyNumberFormat="1" applyFont="1" applyFill="1" applyBorder="1" applyAlignment="1">
      <alignment horizontal="right"/>
    </xf>
    <xf numFmtId="3" fontId="15" fillId="8" borderId="4" xfId="5" applyNumberFormat="1" applyFont="1" applyFill="1" applyBorder="1"/>
    <xf numFmtId="3" fontId="7" fillId="8" borderId="12" xfId="8" applyNumberFormat="1" applyFont="1" applyFill="1" applyBorder="1" applyAlignment="1">
      <alignment horizontal="right"/>
    </xf>
    <xf numFmtId="179" fontId="11" fillId="0" borderId="0" xfId="8" applyNumberFormat="1" applyFont="1" applyFill="1" applyBorder="1" applyAlignment="1"/>
    <xf numFmtId="3" fontId="38" fillId="0" borderId="31" xfId="0" applyNumberFormat="1" applyFont="1" applyFill="1" applyBorder="1" applyAlignment="1">
      <alignment horizontal="right"/>
    </xf>
    <xf numFmtId="3" fontId="42" fillId="0" borderId="31" xfId="0" applyNumberFormat="1" applyFont="1" applyFill="1" applyBorder="1" applyAlignment="1">
      <alignment horizontal="right" vertical="center" wrapText="1"/>
    </xf>
    <xf numFmtId="0" fontId="10" fillId="0" borderId="4" xfId="5" applyFont="1" applyFill="1" applyBorder="1"/>
    <xf numFmtId="1" fontId="10" fillId="0" borderId="4" xfId="5" applyNumberFormat="1" applyFont="1" applyFill="1" applyBorder="1"/>
    <xf numFmtId="168" fontId="8" fillId="2" borderId="31" xfId="1" applyNumberFormat="1" applyFont="1" applyFill="1" applyBorder="1" applyAlignment="1">
      <alignment horizontal="right"/>
    </xf>
    <xf numFmtId="168" fontId="11" fillId="0" borderId="31" xfId="1" applyNumberFormat="1" applyFont="1" applyFill="1" applyBorder="1" applyAlignment="1">
      <alignment horizontal="right"/>
    </xf>
    <xf numFmtId="49" fontId="7" fillId="0" borderId="0" xfId="0" applyNumberFormat="1" applyFont="1" applyFill="1" applyAlignment="1">
      <alignment horizontal="left" vertical="top"/>
    </xf>
    <xf numFmtId="0" fontId="8" fillId="0" borderId="0" xfId="0" applyFont="1" applyFill="1" applyAlignment="1">
      <alignment horizontal="left" vertical="top"/>
    </xf>
    <xf numFmtId="0" fontId="8" fillId="0" borderId="0" xfId="0" applyFont="1" applyFill="1" applyAlignment="1">
      <alignment horizontal="left" vertical="top"/>
    </xf>
    <xf numFmtId="0" fontId="37" fillId="0" borderId="31" xfId="35" applyBorder="1"/>
    <xf numFmtId="0" fontId="15" fillId="5" borderId="31" xfId="0" applyFont="1" applyFill="1" applyBorder="1" applyAlignment="1">
      <alignment horizontal="center" vertical="top"/>
    </xf>
    <xf numFmtId="3" fontId="10" fillId="0" borderId="31" xfId="1" applyNumberFormat="1" applyFont="1" applyFill="1" applyBorder="1" applyAlignment="1">
      <alignment horizontal="right"/>
    </xf>
    <xf numFmtId="3" fontId="10" fillId="0" borderId="31" xfId="1" applyNumberFormat="1" applyFont="1" applyFill="1" applyBorder="1" applyAlignment="1"/>
    <xf numFmtId="3" fontId="11" fillId="0" borderId="31" xfId="6" applyNumberFormat="1" applyFont="1" applyFill="1" applyBorder="1" applyAlignment="1">
      <alignment horizontal="right"/>
    </xf>
    <xf numFmtId="3" fontId="8" fillId="0" borderId="4" xfId="0" applyNumberFormat="1" applyFont="1" applyFill="1" applyBorder="1" applyAlignment="1">
      <alignment horizontal="right" vertical="top"/>
    </xf>
    <xf numFmtId="3" fontId="11" fillId="0" borderId="4" xfId="0" applyNumberFormat="1" applyFont="1" applyFill="1" applyBorder="1" applyAlignment="1">
      <alignment horizontal="right" vertical="center"/>
    </xf>
    <xf numFmtId="3" fontId="11" fillId="0" borderId="31" xfId="0" applyNumberFormat="1" applyFont="1" applyFill="1" applyBorder="1" applyAlignment="1">
      <alignment horizontal="right" vertical="center"/>
    </xf>
    <xf numFmtId="0" fontId="10" fillId="0" borderId="31" xfId="1" applyNumberFormat="1" applyFont="1" applyBorder="1" applyAlignment="1">
      <alignment horizontal="right"/>
    </xf>
    <xf numFmtId="3" fontId="11" fillId="0" borderId="31" xfId="6" applyNumberFormat="1" applyFont="1" applyBorder="1" applyAlignment="1">
      <alignment horizontal="right" vertical="center"/>
    </xf>
    <xf numFmtId="0" fontId="11" fillId="0" borderId="31" xfId="6" applyFont="1" applyBorder="1" applyAlignment="1">
      <alignment horizontal="right"/>
    </xf>
    <xf numFmtId="3" fontId="10" fillId="8" borderId="31" xfId="0" applyNumberFormat="1" applyFont="1" applyFill="1" applyBorder="1" applyAlignment="1">
      <alignment horizontal="right"/>
    </xf>
    <xf numFmtId="3" fontId="11" fillId="8" borderId="31" xfId="6" applyNumberFormat="1" applyFont="1" applyFill="1" applyBorder="1" applyAlignment="1">
      <alignment horizontal="right"/>
    </xf>
    <xf numFmtId="3" fontId="10" fillId="8" borderId="31" xfId="1" applyNumberFormat="1" applyFont="1" applyFill="1" applyBorder="1" applyAlignment="1">
      <alignment horizontal="right" vertical="top"/>
    </xf>
    <xf numFmtId="3" fontId="10" fillId="8" borderId="31" xfId="1" applyNumberFormat="1" applyFont="1" applyFill="1" applyBorder="1" applyAlignment="1">
      <alignment horizontal="right"/>
    </xf>
    <xf numFmtId="3" fontId="11" fillId="8" borderId="31" xfId="6" applyNumberFormat="1" applyFont="1" applyFill="1" applyBorder="1" applyAlignment="1">
      <alignment vertical="center"/>
    </xf>
    <xf numFmtId="3" fontId="11" fillId="8" borderId="31" xfId="1" applyNumberFormat="1" applyFont="1" applyFill="1" applyBorder="1" applyAlignment="1">
      <alignment horizontal="right"/>
    </xf>
    <xf numFmtId="3" fontId="11" fillId="8" borderId="31" xfId="1" applyNumberFormat="1" applyFont="1" applyFill="1" applyBorder="1" applyAlignment="1"/>
    <xf numFmtId="3" fontId="10" fillId="8" borderId="31" xfId="1" applyNumberFormat="1" applyFont="1" applyFill="1" applyBorder="1" applyAlignment="1"/>
    <xf numFmtId="3" fontId="10" fillId="0" borderId="0" xfId="5" applyNumberFormat="1" applyFont="1" applyFill="1" applyBorder="1" applyAlignment="1">
      <alignment horizontal="right" vertical="center" wrapText="1"/>
    </xf>
    <xf numFmtId="0" fontId="11" fillId="0" borderId="31" xfId="0" applyFont="1" applyFill="1" applyBorder="1" applyAlignment="1">
      <alignment horizontal="center" vertical="center"/>
    </xf>
    <xf numFmtId="0" fontId="10" fillId="0" borderId="31" xfId="5" applyFont="1" applyFill="1" applyBorder="1"/>
    <xf numFmtId="0" fontId="8" fillId="2" borderId="0" xfId="8" applyFont="1" applyFill="1" applyAlignment="1">
      <alignment vertical="top"/>
    </xf>
    <xf numFmtId="0" fontId="8" fillId="0" borderId="0" xfId="8" applyFont="1" applyFill="1" applyAlignment="1">
      <alignment vertical="top"/>
    </xf>
    <xf numFmtId="0" fontId="7" fillId="2" borderId="0" xfId="8" applyFont="1" applyFill="1" applyAlignment="1">
      <alignment vertical="top"/>
    </xf>
    <xf numFmtId="49" fontId="12" fillId="0" borderId="0" xfId="8" applyNumberFormat="1" applyFont="1" applyFill="1" applyAlignment="1">
      <alignment vertical="center"/>
    </xf>
    <xf numFmtId="0" fontId="22" fillId="0" borderId="0" xfId="8" applyNumberFormat="1" applyFont="1" applyFill="1" applyBorder="1" applyAlignment="1">
      <alignment horizontal="center" vertical="top"/>
    </xf>
    <xf numFmtId="49" fontId="23" fillId="2" borderId="0" xfId="8" applyNumberFormat="1" applyFont="1" applyFill="1" applyBorder="1" applyAlignment="1">
      <alignment horizontal="left" vertical="center" wrapText="1"/>
    </xf>
    <xf numFmtId="3" fontId="22" fillId="0" borderId="0" xfId="8" applyNumberFormat="1" applyFont="1" applyFill="1" applyBorder="1" applyAlignment="1">
      <alignment horizontal="right" vertical="top"/>
    </xf>
    <xf numFmtId="4" fontId="22" fillId="0" borderId="0" xfId="8" applyNumberFormat="1" applyFont="1" applyFill="1" applyBorder="1" applyAlignment="1">
      <alignment horizontal="right" vertical="top"/>
    </xf>
    <xf numFmtId="180" fontId="22" fillId="0" borderId="0" xfId="8" applyNumberFormat="1" applyFont="1" applyFill="1" applyBorder="1" applyAlignment="1">
      <alignment horizontal="right" vertical="top"/>
    </xf>
    <xf numFmtId="2" fontId="22" fillId="0" borderId="0" xfId="8" applyNumberFormat="1" applyFont="1" applyFill="1" applyBorder="1" applyAlignment="1">
      <alignment horizontal="right" vertical="top"/>
    </xf>
    <xf numFmtId="0" fontId="22" fillId="0" borderId="31" xfId="8" applyNumberFormat="1" applyFont="1" applyFill="1" applyBorder="1" applyAlignment="1">
      <alignment horizontal="center" vertical="top"/>
    </xf>
    <xf numFmtId="49" fontId="25" fillId="2" borderId="0" xfId="8" applyNumberFormat="1" applyFont="1" applyFill="1" applyAlignment="1">
      <alignment horizontal="left" vertical="center"/>
    </xf>
    <xf numFmtId="0" fontId="28" fillId="2" borderId="0" xfId="8" applyFont="1" applyFill="1" applyBorder="1" applyAlignment="1">
      <alignment horizontal="center" vertical="center"/>
    </xf>
    <xf numFmtId="49" fontId="28" fillId="2" borderId="0" xfId="8" applyNumberFormat="1" applyFont="1" applyFill="1" applyBorder="1" applyAlignment="1">
      <alignment horizontal="left" vertical="center"/>
    </xf>
    <xf numFmtId="165" fontId="28" fillId="2" borderId="0" xfId="8" applyNumberFormat="1" applyFont="1" applyFill="1" applyBorder="1" applyAlignment="1">
      <alignment horizontal="left" vertical="center"/>
    </xf>
    <xf numFmtId="181" fontId="28" fillId="2" borderId="0" xfId="10" applyNumberFormat="1" applyFont="1" applyFill="1" applyBorder="1" applyAlignment="1">
      <alignment horizontal="left" vertical="center"/>
    </xf>
    <xf numFmtId="0" fontId="28" fillId="2" borderId="0" xfId="8" applyFont="1" applyFill="1" applyBorder="1" applyAlignment="1">
      <alignment horizontal="left" vertical="center"/>
    </xf>
    <xf numFmtId="182" fontId="8" fillId="2" borderId="31" xfId="8" applyNumberFormat="1" applyFont="1" applyFill="1" applyBorder="1" applyAlignment="1">
      <alignment horizontal="right"/>
    </xf>
    <xf numFmtId="182" fontId="8" fillId="0" borderId="31" xfId="8" applyNumberFormat="1" applyFont="1" applyFill="1" applyBorder="1" applyAlignment="1">
      <alignment horizontal="right"/>
    </xf>
    <xf numFmtId="183" fontId="8" fillId="2" borderId="31" xfId="8" applyNumberFormat="1" applyFont="1" applyFill="1" applyBorder="1" applyAlignment="1">
      <alignment horizontal="right"/>
    </xf>
    <xf numFmtId="179" fontId="8" fillId="2" borderId="31" xfId="8" applyNumberFormat="1" applyFont="1" applyFill="1" applyBorder="1" applyAlignment="1">
      <alignment horizontal="right"/>
    </xf>
    <xf numFmtId="185" fontId="8" fillId="2" borderId="31" xfId="8" applyNumberFormat="1" applyFont="1" applyFill="1" applyBorder="1" applyAlignment="1">
      <alignment horizontal="right"/>
    </xf>
    <xf numFmtId="3" fontId="8" fillId="2" borderId="31" xfId="8" applyNumberFormat="1" applyFont="1" applyFill="1" applyBorder="1" applyAlignment="1">
      <alignment horizontal="right"/>
    </xf>
    <xf numFmtId="186" fontId="8" fillId="2" borderId="31" xfId="8" applyNumberFormat="1" applyFont="1" applyFill="1" applyBorder="1" applyAlignment="1">
      <alignment horizontal="right"/>
    </xf>
    <xf numFmtId="1" fontId="8" fillId="0" borderId="31" xfId="15" applyNumberFormat="1" applyFont="1" applyFill="1" applyBorder="1" applyAlignment="1" applyProtection="1">
      <alignment horizontal="right" vertical="center" wrapText="1"/>
    </xf>
    <xf numFmtId="3" fontId="8" fillId="0" borderId="31" xfId="15" applyNumberFormat="1" applyFont="1" applyFill="1" applyBorder="1" applyAlignment="1">
      <alignment horizontal="right" vertical="center" wrapText="1"/>
    </xf>
    <xf numFmtId="177" fontId="8" fillId="0" borderId="31" xfId="8" applyNumberFormat="1" applyFont="1" applyFill="1" applyBorder="1" applyAlignment="1">
      <alignment horizontal="right"/>
    </xf>
    <xf numFmtId="177" fontId="8" fillId="2" borderId="31" xfId="8" applyNumberFormat="1" applyFont="1" applyFill="1" applyBorder="1" applyAlignment="1">
      <alignment horizontal="right"/>
    </xf>
    <xf numFmtId="171" fontId="8" fillId="2" borderId="31" xfId="8" applyNumberFormat="1" applyFont="1" applyFill="1" applyBorder="1" applyAlignment="1">
      <alignment horizontal="right" vertical="top"/>
    </xf>
    <xf numFmtId="165" fontId="8" fillId="2" borderId="31" xfId="8" applyNumberFormat="1" applyFont="1" applyFill="1" applyBorder="1" applyAlignment="1">
      <alignment horizontal="right" vertical="top"/>
    </xf>
    <xf numFmtId="175" fontId="8" fillId="2" borderId="31" xfId="8" applyNumberFormat="1" applyFont="1" applyFill="1" applyBorder="1" applyAlignment="1">
      <alignment horizontal="right"/>
    </xf>
    <xf numFmtId="178" fontId="8" fillId="2" borderId="31" xfId="8" applyNumberFormat="1" applyFont="1" applyFill="1" applyBorder="1" applyAlignment="1">
      <alignment horizontal="right"/>
    </xf>
    <xf numFmtId="0" fontId="8" fillId="2" borderId="31" xfId="8" applyFont="1" applyFill="1" applyBorder="1" applyAlignment="1">
      <alignment horizontal="right"/>
    </xf>
    <xf numFmtId="173" fontId="8" fillId="2" borderId="31" xfId="8" applyNumberFormat="1" applyFont="1" applyFill="1" applyBorder="1" applyAlignment="1">
      <alignment horizontal="right"/>
    </xf>
    <xf numFmtId="171" fontId="8" fillId="0" borderId="31" xfId="8" applyNumberFormat="1" applyFont="1" applyFill="1" applyBorder="1" applyAlignment="1">
      <alignment horizontal="right"/>
    </xf>
    <xf numFmtId="3" fontId="9" fillId="0" borderId="31" xfId="8" applyNumberFormat="1" applyFont="1" applyFill="1" applyBorder="1" applyAlignment="1">
      <alignment horizontal="right" vertical="center"/>
    </xf>
    <xf numFmtId="0" fontId="8" fillId="2" borderId="31" xfId="8" applyFont="1" applyFill="1" applyBorder="1" applyAlignment="1">
      <alignment vertical="center"/>
    </xf>
    <xf numFmtId="165" fontId="8" fillId="0" borderId="31" xfId="8" applyNumberFormat="1" applyFont="1" applyFill="1" applyBorder="1" applyAlignment="1">
      <alignment horizontal="right"/>
    </xf>
    <xf numFmtId="3" fontId="8" fillId="0" borderId="31" xfId="8" applyNumberFormat="1" applyFont="1" applyFill="1" applyBorder="1" applyAlignment="1">
      <alignment horizontal="right"/>
    </xf>
    <xf numFmtId="0" fontId="9" fillId="4" borderId="31" xfId="8" applyNumberFormat="1" applyFont="1" applyFill="1" applyBorder="1" applyAlignment="1">
      <alignment horizontal="right" vertical="center"/>
    </xf>
    <xf numFmtId="178" fontId="11" fillId="0" borderId="0" xfId="8" applyNumberFormat="1" applyFont="1" applyFill="1" applyBorder="1" applyAlignment="1"/>
    <xf numFmtId="175" fontId="8" fillId="2" borderId="0" xfId="8" applyNumberFormat="1" applyFont="1" applyFill="1" applyBorder="1" applyAlignment="1">
      <alignment horizontal="right"/>
    </xf>
    <xf numFmtId="17" fontId="31" fillId="0" borderId="31" xfId="8" applyNumberFormat="1" applyFont="1" applyFill="1" applyBorder="1" applyAlignment="1">
      <alignment horizontal="center" vertical="center" wrapText="1"/>
    </xf>
    <xf numFmtId="49" fontId="7" fillId="2" borderId="31" xfId="8" applyNumberFormat="1" applyFont="1" applyFill="1" applyBorder="1" applyAlignment="1">
      <alignment horizontal="center" vertical="center" wrapText="1"/>
    </xf>
    <xf numFmtId="3" fontId="9" fillId="4" borderId="31" xfId="8" applyNumberFormat="1" applyFont="1" applyFill="1" applyBorder="1" applyAlignment="1">
      <alignment horizontal="right" vertical="center"/>
    </xf>
    <xf numFmtId="165" fontId="8" fillId="2" borderId="31" xfId="8" applyNumberFormat="1" applyFont="1" applyFill="1" applyBorder="1" applyAlignment="1">
      <alignment horizontal="right"/>
    </xf>
    <xf numFmtId="171" fontId="8" fillId="2" borderId="31" xfId="8" applyNumberFormat="1" applyFont="1" applyFill="1" applyBorder="1" applyAlignment="1">
      <alignment horizontal="right"/>
    </xf>
    <xf numFmtId="0" fontId="8" fillId="2" borderId="0" xfId="8" applyFont="1" applyFill="1" applyAlignment="1">
      <alignment vertical="center"/>
    </xf>
    <xf numFmtId="0" fontId="0" fillId="0" borderId="0" xfId="0"/>
    <xf numFmtId="165" fontId="8" fillId="2" borderId="0" xfId="8" applyNumberFormat="1" applyFont="1" applyFill="1" applyBorder="1" applyAlignment="1">
      <alignment horizontal="right"/>
    </xf>
    <xf numFmtId="3" fontId="8" fillId="2" borderId="0" xfId="8" applyNumberFormat="1" applyFont="1" applyFill="1" applyBorder="1" applyAlignment="1">
      <alignment horizontal="right"/>
    </xf>
    <xf numFmtId="49" fontId="8" fillId="2" borderId="0" xfId="8" applyNumberFormat="1" applyFont="1" applyFill="1" applyBorder="1" applyAlignment="1">
      <alignment horizontal="center" vertical="center"/>
    </xf>
    <xf numFmtId="49" fontId="3" fillId="2" borderId="47" xfId="3" applyNumberFormat="1" applyFont="1" applyFill="1" applyBorder="1" applyAlignment="1">
      <alignment horizontal="center"/>
    </xf>
    <xf numFmtId="0" fontId="10" fillId="0" borderId="0" xfId="0" applyFont="1"/>
    <xf numFmtId="0" fontId="8" fillId="0" borderId="4" xfId="8" applyFont="1" applyFill="1" applyBorder="1" applyAlignment="1">
      <alignment horizontal="right"/>
    </xf>
    <xf numFmtId="1" fontId="8" fillId="0" borderId="4" xfId="8" applyNumberFormat="1" applyFont="1" applyFill="1" applyBorder="1" applyAlignment="1">
      <alignment horizontal="right"/>
    </xf>
    <xf numFmtId="3" fontId="11" fillId="0" borderId="31" xfId="6" applyNumberFormat="1" applyFont="1" applyBorder="1" applyAlignment="1"/>
    <xf numFmtId="0" fontId="0" fillId="3" borderId="0" xfId="0" applyFill="1"/>
    <xf numFmtId="168" fontId="8" fillId="0" borderId="4" xfId="0" applyNumberFormat="1" applyFont="1" applyFill="1" applyBorder="1" applyAlignment="1">
      <alignment horizontal="right" vertical="top"/>
    </xf>
    <xf numFmtId="179" fontId="9" fillId="4" borderId="31" xfId="8" applyNumberFormat="1" applyFont="1" applyFill="1" applyBorder="1" applyAlignment="1">
      <alignment horizontal="right" vertical="center"/>
    </xf>
    <xf numFmtId="186" fontId="9" fillId="4" borderId="31" xfId="8" applyNumberFormat="1" applyFont="1" applyFill="1" applyBorder="1" applyAlignment="1">
      <alignment horizontal="right" vertical="center"/>
    </xf>
    <xf numFmtId="179" fontId="9" fillId="0" borderId="31" xfId="8" applyNumberFormat="1" applyFont="1" applyFill="1" applyBorder="1" applyAlignment="1">
      <alignment horizontal="right" vertical="center"/>
    </xf>
    <xf numFmtId="186" fontId="8" fillId="2" borderId="31" xfId="8" applyNumberFormat="1" applyFont="1" applyFill="1" applyBorder="1" applyAlignment="1">
      <alignment vertical="center"/>
    </xf>
    <xf numFmtId="3" fontId="8" fillId="2" borderId="31" xfId="8" applyNumberFormat="1" applyFont="1" applyFill="1" applyBorder="1" applyAlignment="1">
      <alignment vertical="center"/>
    </xf>
    <xf numFmtId="168" fontId="9" fillId="4" borderId="31" xfId="1" applyNumberFormat="1" applyFont="1" applyFill="1" applyBorder="1" applyAlignment="1">
      <alignment horizontal="right" vertical="center"/>
    </xf>
    <xf numFmtId="1" fontId="9" fillId="4" borderId="31" xfId="8" applyNumberFormat="1" applyFont="1" applyFill="1" applyBorder="1" applyAlignment="1">
      <alignment horizontal="right" vertical="center"/>
    </xf>
    <xf numFmtId="1" fontId="9" fillId="0" borderId="31" xfId="8" applyNumberFormat="1" applyFont="1" applyFill="1" applyBorder="1" applyAlignment="1">
      <alignment horizontal="right" vertical="center"/>
    </xf>
    <xf numFmtId="1" fontId="8" fillId="2" borderId="31" xfId="8" applyNumberFormat="1" applyFont="1" applyFill="1" applyBorder="1" applyAlignment="1">
      <alignment vertical="center"/>
    </xf>
    <xf numFmtId="168" fontId="7" fillId="0" borderId="4" xfId="0" applyNumberFormat="1" applyFont="1" applyFill="1" applyBorder="1" applyAlignment="1">
      <alignment horizontal="right" vertical="top"/>
    </xf>
    <xf numFmtId="168" fontId="7" fillId="0" borderId="31" xfId="0" applyNumberFormat="1" applyFont="1" applyFill="1" applyBorder="1" applyAlignment="1">
      <alignment horizontal="right" vertical="top"/>
    </xf>
    <xf numFmtId="3" fontId="7" fillId="0" borderId="4" xfId="0" applyNumberFormat="1" applyFont="1" applyFill="1" applyBorder="1" applyAlignment="1">
      <alignment horizontal="right" vertical="top"/>
    </xf>
    <xf numFmtId="3" fontId="7" fillId="2" borderId="1" xfId="8" applyNumberFormat="1" applyFont="1" applyFill="1" applyBorder="1" applyAlignment="1">
      <alignment horizontal="right"/>
    </xf>
    <xf numFmtId="3" fontId="7" fillId="0" borderId="1" xfId="8" applyNumberFormat="1" applyFont="1" applyFill="1" applyBorder="1" applyAlignment="1">
      <alignment horizontal="right"/>
    </xf>
    <xf numFmtId="1" fontId="8" fillId="2" borderId="4" xfId="8" applyNumberFormat="1" applyFont="1" applyFill="1" applyBorder="1" applyAlignment="1">
      <alignment horizontal="right"/>
    </xf>
    <xf numFmtId="0" fontId="11" fillId="0" borderId="31" xfId="1" applyNumberFormat="1" applyFont="1" applyBorder="1" applyAlignment="1">
      <alignment horizontal="right"/>
    </xf>
    <xf numFmtId="0" fontId="8" fillId="2" borderId="0" xfId="8" applyFont="1" applyFill="1" applyBorder="1" applyAlignment="1">
      <alignment horizontal="right"/>
    </xf>
    <xf numFmtId="173" fontId="8" fillId="2" borderId="0" xfId="8" applyNumberFormat="1" applyFont="1" applyFill="1" applyBorder="1" applyAlignment="1">
      <alignment horizontal="right"/>
    </xf>
    <xf numFmtId="177" fontId="8" fillId="2" borderId="0" xfId="8" applyNumberFormat="1" applyFont="1" applyFill="1" applyBorder="1" applyAlignment="1">
      <alignment horizontal="right"/>
    </xf>
    <xf numFmtId="179" fontId="8" fillId="2" borderId="0" xfId="8" applyNumberFormat="1" applyFont="1" applyFill="1" applyBorder="1" applyAlignment="1">
      <alignment horizontal="right"/>
    </xf>
    <xf numFmtId="49" fontId="27" fillId="2" borderId="0" xfId="8" applyNumberFormat="1" applyFont="1" applyFill="1" applyAlignment="1">
      <alignment horizontal="left" vertical="top"/>
    </xf>
    <xf numFmtId="182" fontId="8" fillId="2" borderId="0" xfId="8" applyNumberFormat="1" applyFont="1" applyFill="1" applyBorder="1" applyAlignment="1">
      <alignment horizontal="right"/>
    </xf>
    <xf numFmtId="165" fontId="8" fillId="0" borderId="0" xfId="8" applyNumberFormat="1" applyFont="1" applyFill="1" applyBorder="1" applyAlignment="1">
      <alignment horizontal="right"/>
    </xf>
    <xf numFmtId="182" fontId="8" fillId="0" borderId="0" xfId="8" applyNumberFormat="1" applyFont="1" applyFill="1" applyBorder="1" applyAlignment="1">
      <alignment horizontal="right"/>
    </xf>
    <xf numFmtId="183" fontId="8" fillId="2" borderId="0" xfId="8" applyNumberFormat="1" applyFont="1" applyFill="1" applyBorder="1" applyAlignment="1">
      <alignment horizontal="right"/>
    </xf>
    <xf numFmtId="185" fontId="8" fillId="2" borderId="0" xfId="8" applyNumberFormat="1" applyFont="1" applyFill="1" applyBorder="1" applyAlignment="1">
      <alignment horizontal="right"/>
    </xf>
    <xf numFmtId="177" fontId="8" fillId="0" borderId="38" xfId="8" applyNumberFormat="1" applyFont="1" applyFill="1" applyBorder="1" applyAlignment="1">
      <alignment horizontal="right"/>
    </xf>
    <xf numFmtId="0" fontId="8" fillId="0" borderId="38" xfId="8" applyFont="1" applyFill="1" applyBorder="1" applyAlignment="1">
      <alignment vertical="center"/>
    </xf>
    <xf numFmtId="186" fontId="9" fillId="4" borderId="38" xfId="8" applyNumberFormat="1" applyFont="1" applyFill="1" applyBorder="1" applyAlignment="1">
      <alignment horizontal="right" vertical="center"/>
    </xf>
    <xf numFmtId="179" fontId="8" fillId="0" borderId="38" xfId="8" applyNumberFormat="1" applyFont="1" applyFill="1" applyBorder="1" applyAlignment="1">
      <alignment vertical="center"/>
    </xf>
    <xf numFmtId="186" fontId="8" fillId="0" borderId="31" xfId="8" applyNumberFormat="1" applyFont="1" applyFill="1" applyBorder="1" applyAlignment="1">
      <alignment horizontal="right"/>
    </xf>
    <xf numFmtId="185" fontId="8" fillId="0" borderId="31" xfId="8" applyNumberFormat="1" applyFont="1" applyFill="1" applyBorder="1" applyAlignment="1">
      <alignment horizontal="right"/>
    </xf>
    <xf numFmtId="3" fontId="8" fillId="0" borderId="0" xfId="8" applyNumberFormat="1" applyFont="1" applyFill="1" applyAlignment="1">
      <alignment vertical="center"/>
    </xf>
    <xf numFmtId="1" fontId="8" fillId="0" borderId="31" xfId="8" applyNumberFormat="1" applyFont="1" applyFill="1" applyBorder="1" applyAlignment="1">
      <alignment vertical="center"/>
    </xf>
    <xf numFmtId="186" fontId="8" fillId="2" borderId="0" xfId="8" applyNumberFormat="1" applyFont="1" applyFill="1" applyBorder="1" applyAlignment="1">
      <alignment horizontal="right"/>
    </xf>
    <xf numFmtId="168" fontId="8" fillId="2" borderId="0" xfId="11" applyNumberFormat="1" applyFont="1" applyFill="1" applyBorder="1" applyAlignment="1">
      <alignment horizontal="right"/>
    </xf>
    <xf numFmtId="168" fontId="7" fillId="2" borderId="0" xfId="1" applyNumberFormat="1" applyFont="1" applyFill="1" applyAlignment="1">
      <alignment horizontal="left"/>
    </xf>
    <xf numFmtId="0" fontId="8" fillId="2" borderId="0" xfId="8" applyFont="1" applyFill="1" applyBorder="1" applyAlignment="1">
      <alignment horizontal="right" vertical="top"/>
    </xf>
    <xf numFmtId="173" fontId="8" fillId="2" borderId="0" xfId="8" applyNumberFormat="1" applyFont="1" applyFill="1" applyBorder="1" applyAlignment="1">
      <alignment horizontal="right" vertical="top"/>
    </xf>
    <xf numFmtId="171" fontId="8" fillId="2" borderId="0" xfId="8" applyNumberFormat="1" applyFont="1" applyFill="1" applyBorder="1" applyAlignment="1">
      <alignment horizontal="right" vertical="top"/>
    </xf>
    <xf numFmtId="181" fontId="8" fillId="2" borderId="0" xfId="2" applyNumberFormat="1" applyFont="1" applyFill="1" applyBorder="1" applyAlignment="1">
      <alignment horizontal="right" vertical="top"/>
    </xf>
    <xf numFmtId="165" fontId="8" fillId="2" borderId="0" xfId="8" applyNumberFormat="1" applyFont="1" applyFill="1" applyBorder="1" applyAlignment="1">
      <alignment horizontal="right" vertical="top"/>
    </xf>
    <xf numFmtId="9" fontId="8" fillId="2" borderId="0" xfId="2" applyFont="1" applyFill="1" applyBorder="1" applyAlignment="1">
      <alignment horizontal="right" vertical="top"/>
    </xf>
    <xf numFmtId="0" fontId="8" fillId="0" borderId="31" xfId="8" applyFont="1" applyFill="1" applyBorder="1" applyAlignment="1">
      <alignment horizontal="right"/>
    </xf>
    <xf numFmtId="173" fontId="8" fillId="0" borderId="31" xfId="8" applyNumberFormat="1" applyFont="1" applyFill="1" applyBorder="1" applyAlignment="1">
      <alignment horizontal="right"/>
    </xf>
    <xf numFmtId="168" fontId="8" fillId="0" borderId="31" xfId="1" applyNumberFormat="1" applyFont="1" applyFill="1" applyBorder="1" applyAlignment="1">
      <alignment horizontal="right"/>
    </xf>
    <xf numFmtId="178" fontId="8" fillId="0" borderId="31" xfId="8" applyNumberFormat="1" applyFont="1" applyFill="1" applyBorder="1" applyAlignment="1">
      <alignment horizontal="right"/>
    </xf>
    <xf numFmtId="3" fontId="21" fillId="3" borderId="31" xfId="49" applyNumberFormat="1" applyFont="1" applyFill="1" applyBorder="1" applyAlignment="1">
      <alignment horizontal="right" vertical="center" wrapText="1"/>
    </xf>
    <xf numFmtId="3" fontId="21" fillId="3" borderId="31" xfId="49" applyNumberFormat="1" applyFont="1" applyFill="1" applyBorder="1" applyAlignment="1">
      <alignment horizontal="right" wrapText="1"/>
    </xf>
    <xf numFmtId="3" fontId="8" fillId="2" borderId="0" xfId="8" applyNumberFormat="1" applyFont="1" applyFill="1" applyBorder="1" applyAlignment="1">
      <alignment horizontal="right" vertical="top"/>
    </xf>
    <xf numFmtId="165" fontId="8" fillId="0" borderId="0" xfId="8" applyNumberFormat="1" applyFont="1" applyFill="1" applyBorder="1" applyAlignment="1">
      <alignment horizontal="right" vertical="top"/>
    </xf>
    <xf numFmtId="198" fontId="8" fillId="2" borderId="0" xfId="8" applyNumberFormat="1" applyFont="1" applyFill="1" applyBorder="1" applyAlignment="1">
      <alignment horizontal="right"/>
    </xf>
    <xf numFmtId="0" fontId="8" fillId="0" borderId="0" xfId="0" applyFont="1" applyFill="1" applyBorder="1" applyAlignment="1">
      <alignment horizontal="left" vertical="top"/>
    </xf>
    <xf numFmtId="0" fontId="10" fillId="0" borderId="31" xfId="0" applyFont="1" applyBorder="1"/>
    <xf numFmtId="0" fontId="27" fillId="2" borderId="31" xfId="8" applyFont="1" applyFill="1" applyBorder="1" applyAlignment="1">
      <alignment horizontal="center" vertical="center"/>
    </xf>
    <xf numFmtId="49" fontId="27" fillId="2" borderId="31" xfId="8" applyNumberFormat="1" applyFont="1" applyFill="1" applyBorder="1" applyAlignment="1">
      <alignment horizontal="left" vertical="center"/>
    </xf>
    <xf numFmtId="49" fontId="43" fillId="0" borderId="31" xfId="0" applyNumberFormat="1" applyFont="1" applyFill="1" applyBorder="1" applyAlignment="1">
      <alignment horizontal="center" vertical="top" wrapText="1"/>
    </xf>
    <xf numFmtId="1" fontId="10" fillId="0" borderId="31" xfId="0" applyNumberFormat="1" applyFont="1" applyBorder="1"/>
    <xf numFmtId="0" fontId="10" fillId="0" borderId="31" xfId="0" applyFont="1" applyBorder="1" applyAlignment="1">
      <alignment wrapText="1"/>
    </xf>
    <xf numFmtId="49" fontId="17" fillId="0" borderId="27" xfId="0" applyNumberFormat="1" applyFont="1" applyFill="1" applyBorder="1" applyAlignment="1">
      <alignment horizontal="left"/>
    </xf>
    <xf numFmtId="43" fontId="8" fillId="2" borderId="0" xfId="8" applyNumberFormat="1" applyFont="1" applyFill="1" applyAlignment="1">
      <alignment vertical="center"/>
    </xf>
    <xf numFmtId="3" fontId="11" fillId="5" borderId="31" xfId="6" applyNumberFormat="1" applyFont="1" applyFill="1" applyBorder="1" applyAlignment="1">
      <alignment vertical="center"/>
    </xf>
    <xf numFmtId="0" fontId="10" fillId="0" borderId="31" xfId="0" applyFont="1" applyBorder="1" applyAlignment="1">
      <alignment vertical="center" wrapText="1"/>
    </xf>
    <xf numFmtId="0" fontId="18" fillId="0" borderId="0" xfId="0" applyFont="1" applyFill="1" applyBorder="1" applyAlignment="1">
      <alignment horizontal="left" vertical="top"/>
    </xf>
    <xf numFmtId="1" fontId="10" fillId="0" borderId="0" xfId="0" applyNumberFormat="1" applyFont="1" applyBorder="1"/>
    <xf numFmtId="3" fontId="10" fillId="0" borderId="0" xfId="0" applyNumberFormat="1" applyFont="1" applyBorder="1"/>
    <xf numFmtId="49" fontId="43" fillId="0" borderId="31" xfId="0" applyNumberFormat="1" applyFont="1" applyFill="1" applyBorder="1" applyAlignment="1">
      <alignment horizontal="center" vertical="top" wrapText="1"/>
    </xf>
    <xf numFmtId="0" fontId="10" fillId="3" borderId="31" xfId="0" applyFont="1" applyFill="1" applyBorder="1" applyAlignment="1">
      <alignment horizontal="center"/>
    </xf>
    <xf numFmtId="49" fontId="7" fillId="3" borderId="34" xfId="8" applyNumberFormat="1" applyFont="1" applyFill="1" applyBorder="1" applyAlignment="1">
      <alignment horizontal="center"/>
    </xf>
    <xf numFmtId="49" fontId="7" fillId="3" borderId="29" xfId="8" applyNumberFormat="1" applyFont="1" applyFill="1" applyBorder="1" applyAlignment="1">
      <alignment horizontal="center"/>
    </xf>
    <xf numFmtId="49" fontId="7" fillId="3" borderId="22" xfId="8" applyNumberFormat="1" applyFont="1" applyFill="1" applyBorder="1" applyAlignment="1">
      <alignment horizontal="center"/>
    </xf>
    <xf numFmtId="49" fontId="8" fillId="3" borderId="31" xfId="0" applyNumberFormat="1" applyFont="1" applyFill="1" applyBorder="1" applyAlignment="1">
      <alignment horizontal="left"/>
    </xf>
    <xf numFmtId="165" fontId="8" fillId="3" borderId="31" xfId="0" applyNumberFormat="1" applyFont="1" applyFill="1" applyBorder="1" applyAlignment="1">
      <alignment horizontal="center"/>
    </xf>
    <xf numFmtId="0" fontId="9" fillId="3" borderId="31" xfId="0" applyFont="1" applyFill="1" applyBorder="1" applyAlignment="1">
      <alignment horizontal="left" vertical="center"/>
    </xf>
    <xf numFmtId="3" fontId="10" fillId="3" borderId="31" xfId="0" applyNumberFormat="1" applyFont="1" applyFill="1" applyBorder="1" applyAlignment="1">
      <alignment horizontal="center"/>
    </xf>
    <xf numFmtId="0" fontId="8" fillId="3" borderId="0" xfId="8" applyFont="1" applyFill="1" applyAlignment="1">
      <alignment vertical="center"/>
    </xf>
    <xf numFmtId="3" fontId="9" fillId="3" borderId="0" xfId="8" applyNumberFormat="1" applyFont="1" applyFill="1" applyBorder="1" applyAlignment="1">
      <alignment horizontal="right" vertical="center"/>
    </xf>
    <xf numFmtId="17" fontId="21" fillId="0" borderId="0" xfId="19" applyNumberFormat="1" applyFont="1" applyFill="1" applyBorder="1" applyAlignment="1">
      <alignment horizontal="left" vertical="top"/>
    </xf>
    <xf numFmtId="179" fontId="8" fillId="2" borderId="0" xfId="8" applyNumberFormat="1" applyFont="1" applyFill="1" applyAlignment="1">
      <alignment vertical="center"/>
    </xf>
    <xf numFmtId="0" fontId="8" fillId="2" borderId="0" xfId="0" applyFont="1" applyFill="1" applyBorder="1" applyAlignment="1">
      <alignment horizontal="right"/>
    </xf>
    <xf numFmtId="49" fontId="7" fillId="0" borderId="15" xfId="0" applyNumberFormat="1" applyFont="1" applyFill="1" applyBorder="1" applyAlignment="1">
      <alignment horizontal="left"/>
    </xf>
    <xf numFmtId="49" fontId="7" fillId="0" borderId="12" xfId="0" applyNumberFormat="1" applyFont="1" applyFill="1" applyBorder="1" applyAlignment="1">
      <alignment horizontal="left"/>
    </xf>
    <xf numFmtId="49" fontId="7" fillId="2" borderId="0" xfId="8" applyNumberFormat="1" applyFont="1" applyFill="1" applyAlignment="1">
      <alignment horizontal="left"/>
    </xf>
    <xf numFmtId="43" fontId="15" fillId="0" borderId="31" xfId="1" applyFont="1" applyFill="1" applyBorder="1" applyAlignment="1">
      <alignment vertical="top" wrapText="1"/>
    </xf>
    <xf numFmtId="195" fontId="15" fillId="0" borderId="31" xfId="1" applyNumberFormat="1" applyFont="1" applyFill="1" applyBorder="1" applyAlignment="1">
      <alignment vertical="top" wrapText="1"/>
    </xf>
    <xf numFmtId="17" fontId="15" fillId="0" borderId="31" xfId="1" applyNumberFormat="1" applyFont="1" applyFill="1" applyBorder="1" applyAlignment="1"/>
    <xf numFmtId="43" fontId="10" fillId="0" borderId="31" xfId="1" applyFont="1" applyFill="1" applyBorder="1" applyAlignment="1">
      <alignment vertical="top" wrapText="1"/>
    </xf>
    <xf numFmtId="43" fontId="11" fillId="0" borderId="31" xfId="1" applyFont="1" applyFill="1" applyBorder="1" applyAlignment="1">
      <alignment vertical="top" wrapText="1"/>
    </xf>
    <xf numFmtId="168" fontId="10" fillId="0" borderId="31" xfId="1" applyNumberFormat="1" applyFont="1" applyFill="1" applyBorder="1" applyAlignment="1">
      <alignment horizontal="right" vertical="top" wrapText="1"/>
    </xf>
    <xf numFmtId="43" fontId="15" fillId="0" borderId="31" xfId="1" applyFont="1" applyFill="1" applyBorder="1" applyAlignment="1">
      <alignment horizontal="left" vertical="top" wrapText="1"/>
    </xf>
    <xf numFmtId="43" fontId="10" fillId="0" borderId="31" xfId="1" applyFont="1" applyFill="1" applyBorder="1" applyAlignment="1">
      <alignment horizontal="right" vertical="center" wrapText="1"/>
    </xf>
    <xf numFmtId="43" fontId="10" fillId="0" borderId="31" xfId="1" applyFont="1" applyFill="1" applyBorder="1" applyAlignment="1">
      <alignment vertical="top"/>
    </xf>
    <xf numFmtId="43" fontId="10" fillId="0" borderId="31" xfId="1" applyFont="1" applyFill="1" applyBorder="1" applyAlignment="1">
      <alignment horizontal="right" vertical="center"/>
    </xf>
    <xf numFmtId="165" fontId="10" fillId="0" borderId="31" xfId="1" applyNumberFormat="1" applyFont="1" applyFill="1" applyBorder="1" applyAlignment="1">
      <alignment horizontal="right" vertical="center" wrapText="1"/>
    </xf>
    <xf numFmtId="168" fontId="10" fillId="0" borderId="31" xfId="1" applyNumberFormat="1" applyFont="1" applyFill="1" applyBorder="1" applyAlignment="1">
      <alignment horizontal="right" vertical="center" wrapText="1"/>
    </xf>
    <xf numFmtId="43" fontId="10" fillId="0" borderId="31" xfId="1" applyFont="1" applyFill="1" applyBorder="1" applyAlignment="1">
      <alignment horizontal="right" vertical="top" wrapText="1"/>
    </xf>
    <xf numFmtId="2" fontId="10" fillId="0" borderId="31" xfId="1" applyNumberFormat="1" applyFont="1" applyFill="1" applyBorder="1" applyAlignment="1">
      <alignment horizontal="right" vertical="center" wrapText="1"/>
    </xf>
    <xf numFmtId="49" fontId="7" fillId="2" borderId="0" xfId="8" applyNumberFormat="1" applyFont="1" applyFill="1" applyAlignment="1">
      <alignment horizontal="left"/>
    </xf>
    <xf numFmtId="49" fontId="43" fillId="0" borderId="31" xfId="0" applyNumberFormat="1" applyFont="1" applyFill="1" applyBorder="1" applyAlignment="1">
      <alignment horizontal="center" vertical="top" wrapText="1"/>
    </xf>
    <xf numFmtId="49" fontId="43" fillId="0" borderId="31" xfId="0" applyNumberFormat="1" applyFont="1" applyFill="1" applyBorder="1" applyAlignment="1">
      <alignment horizontal="center" vertical="top" wrapText="1"/>
    </xf>
    <xf numFmtId="0" fontId="18" fillId="8" borderId="31" xfId="0" applyFont="1" applyFill="1" applyBorder="1" applyAlignment="1">
      <alignment horizontal="left" vertical="top"/>
    </xf>
    <xf numFmtId="1" fontId="10" fillId="8" borderId="31" xfId="0" applyNumberFormat="1" applyFont="1" applyFill="1" applyBorder="1"/>
    <xf numFmtId="3" fontId="10" fillId="8" borderId="31" xfId="0" applyNumberFormat="1" applyFont="1" applyFill="1" applyBorder="1"/>
    <xf numFmtId="0" fontId="12" fillId="0" borderId="8" xfId="0" applyFont="1" applyFill="1" applyBorder="1" applyAlignment="1">
      <alignment horizontal="center" vertical="center"/>
    </xf>
    <xf numFmtId="0" fontId="12" fillId="0" borderId="37" xfId="0" applyFont="1" applyBorder="1" applyAlignment="1">
      <alignment horizontal="left" vertical="top" wrapText="1"/>
    </xf>
    <xf numFmtId="0" fontId="11" fillId="0" borderId="0" xfId="0" applyFont="1" applyAlignment="1">
      <alignment horizontal="left" vertical="top"/>
    </xf>
    <xf numFmtId="0" fontId="10" fillId="3" borderId="0" xfId="0" applyFont="1" applyFill="1"/>
    <xf numFmtId="0" fontId="10" fillId="0" borderId="0" xfId="0" applyFont="1" applyFill="1" applyBorder="1" applyProtection="1">
      <protection locked="0"/>
    </xf>
    <xf numFmtId="0" fontId="10" fillId="0" borderId="0" xfId="0" applyFont="1" applyBorder="1" applyProtection="1">
      <protection locked="0"/>
    </xf>
    <xf numFmtId="3" fontId="11" fillId="0" borderId="31" xfId="0" applyNumberFormat="1" applyFont="1" applyBorder="1" applyAlignment="1">
      <alignment horizontal="right"/>
    </xf>
    <xf numFmtId="0" fontId="11" fillId="0" borderId="31" xfId="0" applyFont="1" applyBorder="1" applyAlignment="1">
      <alignment horizontal="left"/>
    </xf>
    <xf numFmtId="14" fontId="11" fillId="0" borderId="31" xfId="0" applyNumberFormat="1" applyFont="1" applyBorder="1" applyAlignment="1">
      <alignment horizontal="left"/>
    </xf>
    <xf numFmtId="0" fontId="11" fillId="0" borderId="31" xfId="0" applyFont="1" applyBorder="1" applyAlignment="1">
      <alignment horizontal="right"/>
    </xf>
    <xf numFmtId="2" fontId="11" fillId="0" borderId="31" xfId="0" applyNumberFormat="1" applyFont="1" applyBorder="1" applyAlignment="1">
      <alignment horizontal="right"/>
    </xf>
    <xf numFmtId="0" fontId="11" fillId="3" borderId="31" xfId="0" applyFont="1" applyFill="1" applyBorder="1" applyAlignment="1">
      <alignment horizontal="left"/>
    </xf>
    <xf numFmtId="14" fontId="11" fillId="3" borderId="31" xfId="0" applyNumberFormat="1" applyFont="1" applyFill="1" applyBorder="1" applyAlignment="1">
      <alignment horizontal="left"/>
    </xf>
    <xf numFmtId="14" fontId="10" fillId="0" borderId="0" xfId="0" applyNumberFormat="1" applyFont="1" applyBorder="1" applyAlignment="1">
      <alignment horizontal="right"/>
    </xf>
    <xf numFmtId="14" fontId="10" fillId="0" borderId="0" xfId="0" applyNumberFormat="1" applyFont="1" applyFill="1" applyBorder="1" applyAlignment="1">
      <alignment horizontal="right"/>
    </xf>
    <xf numFmtId="14" fontId="10" fillId="0" borderId="0" xfId="0" applyNumberFormat="1" applyFont="1" applyBorder="1"/>
    <xf numFmtId="0" fontId="10" fillId="0" borderId="0" xfId="0" applyFont="1" applyFill="1" applyBorder="1"/>
    <xf numFmtId="0" fontId="15" fillId="0" borderId="31" xfId="0" applyFont="1" applyBorder="1" applyAlignment="1">
      <alignment horizontal="center" vertical="top" wrapText="1"/>
    </xf>
    <xf numFmtId="168" fontId="15" fillId="0" borderId="31" xfId="29" applyNumberFormat="1" applyFont="1" applyBorder="1" applyAlignment="1">
      <alignment horizontal="left" vertical="top"/>
    </xf>
    <xf numFmtId="168" fontId="15" fillId="8" borderId="31" xfId="29" applyNumberFormat="1" applyFont="1" applyFill="1" applyBorder="1" applyAlignment="1">
      <alignment horizontal="left" vertical="top"/>
    </xf>
    <xf numFmtId="168" fontId="15" fillId="0" borderId="31" xfId="29" applyNumberFormat="1" applyFont="1" applyFill="1" applyBorder="1" applyAlignment="1">
      <alignment horizontal="left" vertical="top"/>
    </xf>
    <xf numFmtId="3" fontId="41" fillId="0" borderId="31" xfId="0" applyNumberFormat="1" applyFont="1" applyBorder="1" applyAlignment="1">
      <alignment horizontal="right"/>
    </xf>
    <xf numFmtId="3" fontId="40" fillId="0" borderId="31" xfId="6" applyNumberFormat="1" applyFont="1" applyBorder="1" applyAlignment="1">
      <alignment horizontal="right"/>
    </xf>
    <xf numFmtId="3" fontId="40" fillId="0" borderId="31" xfId="0" applyNumberFormat="1" applyFont="1" applyBorder="1" applyAlignment="1">
      <alignment horizontal="right"/>
    </xf>
    <xf numFmtId="168" fontId="11" fillId="0" borderId="31" xfId="6" applyNumberFormat="1" applyFont="1" applyFill="1" applyBorder="1" applyAlignment="1">
      <alignment horizontal="right"/>
    </xf>
    <xf numFmtId="168" fontId="10" fillId="0" borderId="31" xfId="0" applyNumberFormat="1" applyFont="1" applyFill="1" applyBorder="1" applyAlignment="1">
      <alignment horizontal="right"/>
    </xf>
    <xf numFmtId="168" fontId="11" fillId="0" borderId="31" xfId="0" applyNumberFormat="1" applyFont="1" applyFill="1" applyBorder="1"/>
    <xf numFmtId="0" fontId="10" fillId="0" borderId="31" xfId="0" applyFont="1" applyBorder="1" applyAlignment="1">
      <alignment horizontal="right"/>
    </xf>
    <xf numFmtId="168" fontId="15" fillId="5" borderId="56" xfId="29" applyNumberFormat="1" applyFont="1" applyFill="1" applyBorder="1" applyAlignment="1">
      <alignment horizontal="center" vertical="top"/>
    </xf>
    <xf numFmtId="168" fontId="15" fillId="5" borderId="60" xfId="29" applyNumberFormat="1" applyFont="1" applyFill="1" applyBorder="1" applyAlignment="1">
      <alignment horizontal="center" vertical="top"/>
    </xf>
    <xf numFmtId="168" fontId="15" fillId="5" borderId="61" xfId="29" applyNumberFormat="1" applyFont="1" applyFill="1" applyBorder="1" applyAlignment="1">
      <alignment horizontal="center" vertical="top"/>
    </xf>
    <xf numFmtId="168" fontId="15" fillId="0" borderId="31" xfId="29" applyNumberFormat="1" applyFont="1" applyFill="1" applyBorder="1" applyAlignment="1">
      <alignment horizontal="left" vertical="top" wrapText="1"/>
    </xf>
    <xf numFmtId="168" fontId="8" fillId="0" borderId="31" xfId="0" applyNumberFormat="1" applyFont="1" applyFill="1" applyBorder="1" applyAlignment="1">
      <alignment horizontal="right" vertical="top"/>
    </xf>
    <xf numFmtId="165" fontId="10" fillId="0" borderId="31" xfId="1" applyNumberFormat="1" applyFont="1" applyBorder="1" applyAlignment="1">
      <alignment horizontal="right"/>
    </xf>
    <xf numFmtId="168" fontId="10" fillId="0" borderId="31" xfId="1" applyNumberFormat="1" applyFont="1" applyBorder="1" applyAlignment="1">
      <alignment horizontal="right"/>
    </xf>
    <xf numFmtId="167" fontId="0" fillId="0" borderId="0" xfId="0" applyNumberFormat="1"/>
    <xf numFmtId="43" fontId="10" fillId="0" borderId="31" xfId="1" applyNumberFormat="1" applyFont="1" applyFill="1" applyBorder="1" applyAlignment="1">
      <alignment horizontal="right" vertical="center" wrapText="1"/>
    </xf>
    <xf numFmtId="3" fontId="10" fillId="0" borderId="31" xfId="0" applyNumberFormat="1" applyFont="1" applyBorder="1" applyAlignment="1">
      <alignment horizontal="right" vertical="center"/>
    </xf>
    <xf numFmtId="0" fontId="10" fillId="0" borderId="31" xfId="0" applyFont="1" applyBorder="1" applyAlignment="1">
      <alignment horizontal="right" vertical="center"/>
    </xf>
    <xf numFmtId="43" fontId="10" fillId="0" borderId="31" xfId="1" applyFont="1" applyBorder="1" applyAlignment="1">
      <alignment horizontal="right" vertical="center"/>
    </xf>
    <xf numFmtId="49" fontId="7" fillId="2" borderId="59" xfId="8" applyNumberFormat="1" applyFont="1" applyFill="1" applyBorder="1" applyAlignment="1">
      <alignment vertical="center"/>
    </xf>
    <xf numFmtId="49" fontId="7" fillId="2" borderId="59" xfId="8" applyNumberFormat="1" applyFont="1" applyFill="1" applyBorder="1" applyAlignment="1">
      <alignment vertical="center" wrapText="1"/>
    </xf>
    <xf numFmtId="49" fontId="7" fillId="2" borderId="59" xfId="8" applyNumberFormat="1" applyFont="1" applyFill="1" applyBorder="1" applyAlignment="1">
      <alignment vertical="top"/>
    </xf>
    <xf numFmtId="0" fontId="2" fillId="0" borderId="59" xfId="8" applyNumberFormat="1" applyFont="1" applyFill="1" applyBorder="1" applyAlignment="1"/>
    <xf numFmtId="177" fontId="8" fillId="0" borderId="66" xfId="8" applyNumberFormat="1" applyFont="1" applyFill="1" applyBorder="1" applyAlignment="1">
      <alignment horizontal="right"/>
    </xf>
    <xf numFmtId="177" fontId="8" fillId="0" borderId="62" xfId="8" applyNumberFormat="1" applyFont="1" applyFill="1" applyBorder="1" applyAlignment="1">
      <alignment horizontal="right"/>
    </xf>
    <xf numFmtId="177" fontId="8" fillId="0" borderId="69" xfId="8" applyNumberFormat="1" applyFont="1" applyFill="1" applyBorder="1" applyAlignment="1">
      <alignment horizontal="right"/>
    </xf>
    <xf numFmtId="49" fontId="7" fillId="2" borderId="39" xfId="8" applyNumberFormat="1" applyFont="1" applyFill="1" applyBorder="1" applyAlignment="1">
      <alignment horizontal="center" vertical="center" wrapText="1"/>
    </xf>
    <xf numFmtId="3" fontId="7" fillId="2" borderId="39" xfId="8" applyNumberFormat="1" applyFont="1" applyFill="1" applyBorder="1" applyAlignment="1">
      <alignment horizontal="right"/>
    </xf>
    <xf numFmtId="171" fontId="7" fillId="2" borderId="39" xfId="8" applyNumberFormat="1" applyFont="1" applyFill="1" applyBorder="1" applyAlignment="1">
      <alignment horizontal="right"/>
    </xf>
    <xf numFmtId="175" fontId="7" fillId="2" borderId="39" xfId="8" applyNumberFormat="1" applyFont="1" applyFill="1" applyBorder="1" applyAlignment="1">
      <alignment horizontal="right"/>
    </xf>
    <xf numFmtId="186" fontId="7" fillId="2" borderId="39" xfId="8" applyNumberFormat="1" applyFont="1" applyFill="1" applyBorder="1" applyAlignment="1">
      <alignment horizontal="right"/>
    </xf>
    <xf numFmtId="177" fontId="7" fillId="2" borderId="39" xfId="8" applyNumberFormat="1" applyFont="1" applyFill="1" applyBorder="1" applyAlignment="1">
      <alignment horizontal="right"/>
    </xf>
    <xf numFmtId="165" fontId="7" fillId="2" borderId="39" xfId="8" applyNumberFormat="1" applyFont="1" applyFill="1" applyBorder="1" applyAlignment="1">
      <alignment horizontal="right"/>
    </xf>
    <xf numFmtId="185" fontId="7" fillId="2" borderId="39" xfId="8" applyNumberFormat="1" applyFont="1" applyFill="1" applyBorder="1" applyAlignment="1">
      <alignment horizontal="right"/>
    </xf>
    <xf numFmtId="175" fontId="7" fillId="7" borderId="39" xfId="8" applyNumberFormat="1" applyFont="1" applyFill="1" applyBorder="1" applyAlignment="1">
      <alignment horizontal="right"/>
    </xf>
    <xf numFmtId="177" fontId="7" fillId="7" borderId="39" xfId="8" applyNumberFormat="1" applyFont="1" applyFill="1" applyBorder="1" applyAlignment="1">
      <alignment horizontal="right"/>
    </xf>
    <xf numFmtId="190" fontId="7" fillId="7" borderId="39" xfId="8" applyNumberFormat="1" applyFont="1" applyFill="1" applyBorder="1" applyAlignment="1">
      <alignment horizontal="right"/>
    </xf>
    <xf numFmtId="171" fontId="8" fillId="2" borderId="39" xfId="8" applyNumberFormat="1" applyFont="1" applyFill="1" applyBorder="1" applyAlignment="1">
      <alignment horizontal="right"/>
    </xf>
    <xf numFmtId="171" fontId="8" fillId="0" borderId="39" xfId="8" applyNumberFormat="1" applyFont="1" applyFill="1" applyBorder="1" applyAlignment="1">
      <alignment horizontal="right"/>
    </xf>
    <xf numFmtId="165" fontId="8" fillId="2" borderId="39" xfId="8" applyNumberFormat="1" applyFont="1" applyFill="1" applyBorder="1" applyAlignment="1">
      <alignment horizontal="right"/>
    </xf>
    <xf numFmtId="0" fontId="7" fillId="2" borderId="39" xfId="8" applyFont="1" applyFill="1" applyBorder="1" applyAlignment="1">
      <alignment horizontal="center" vertical="center" wrapText="1"/>
    </xf>
    <xf numFmtId="49" fontId="7" fillId="2" borderId="39" xfId="8" applyNumberFormat="1" applyFont="1" applyFill="1" applyBorder="1" applyAlignment="1">
      <alignment horizontal="center" vertical="center"/>
    </xf>
    <xf numFmtId="49" fontId="7" fillId="2" borderId="39" xfId="8" applyNumberFormat="1" applyFont="1" applyFill="1" applyBorder="1" applyAlignment="1">
      <alignment horizontal="center"/>
    </xf>
    <xf numFmtId="49" fontId="7" fillId="2" borderId="39" xfId="8" applyNumberFormat="1" applyFont="1" applyFill="1" applyBorder="1" applyAlignment="1">
      <alignment vertical="center"/>
    </xf>
    <xf numFmtId="177" fontId="7" fillId="0" borderId="39" xfId="8" applyNumberFormat="1" applyFont="1" applyFill="1" applyBorder="1" applyAlignment="1">
      <alignment horizontal="right"/>
    </xf>
    <xf numFmtId="177" fontId="7" fillId="3" borderId="39" xfId="8" applyNumberFormat="1" applyFont="1" applyFill="1" applyBorder="1" applyAlignment="1">
      <alignment horizontal="right"/>
    </xf>
    <xf numFmtId="0" fontId="7" fillId="2" borderId="39" xfId="8" applyFont="1" applyFill="1" applyBorder="1" applyAlignment="1">
      <alignment horizontal="right" vertical="top"/>
    </xf>
    <xf numFmtId="173" fontId="7" fillId="2" borderId="39" xfId="8" applyNumberFormat="1" applyFont="1" applyFill="1" applyBorder="1" applyAlignment="1">
      <alignment horizontal="right" vertical="top"/>
    </xf>
    <xf numFmtId="171" fontId="7" fillId="2" borderId="39" xfId="8" applyNumberFormat="1" applyFont="1" applyFill="1" applyBorder="1" applyAlignment="1">
      <alignment horizontal="right" vertical="top"/>
    </xf>
    <xf numFmtId="165" fontId="7" fillId="2" borderId="39" xfId="8" applyNumberFormat="1" applyFont="1" applyFill="1" applyBorder="1" applyAlignment="1">
      <alignment horizontal="right" vertical="top"/>
    </xf>
    <xf numFmtId="49" fontId="7" fillId="2" borderId="39" xfId="8" applyNumberFormat="1" applyFont="1" applyFill="1" applyBorder="1" applyAlignment="1">
      <alignment horizontal="center" wrapText="1"/>
    </xf>
    <xf numFmtId="49" fontId="7" fillId="2" borderId="39" xfId="8" applyNumberFormat="1" applyFont="1" applyFill="1" applyBorder="1" applyAlignment="1">
      <alignment horizontal="left"/>
    </xf>
    <xf numFmtId="0" fontId="7" fillId="2" borderId="39" xfId="8" applyFont="1" applyFill="1" applyBorder="1" applyAlignment="1">
      <alignment horizontal="right"/>
    </xf>
    <xf numFmtId="173" fontId="7" fillId="2" borderId="39" xfId="8" applyNumberFormat="1" applyFont="1" applyFill="1" applyBorder="1" applyAlignment="1">
      <alignment horizontal="right"/>
    </xf>
    <xf numFmtId="191" fontId="7" fillId="2" borderId="39" xfId="8" applyNumberFormat="1" applyFont="1" applyFill="1" applyBorder="1" applyAlignment="1">
      <alignment horizontal="right"/>
    </xf>
    <xf numFmtId="178" fontId="7" fillId="2" borderId="39" xfId="8" applyNumberFormat="1" applyFont="1" applyFill="1" applyBorder="1" applyAlignment="1">
      <alignment horizontal="right"/>
    </xf>
    <xf numFmtId="171" fontId="7" fillId="0" borderId="39" xfId="8" applyNumberFormat="1" applyFont="1" applyFill="1" applyBorder="1" applyAlignment="1">
      <alignment horizontal="right"/>
    </xf>
    <xf numFmtId="165" fontId="7" fillId="0" borderId="39" xfId="8" applyNumberFormat="1" applyFont="1" applyFill="1" applyBorder="1" applyAlignment="1">
      <alignment horizontal="right"/>
    </xf>
    <xf numFmtId="0" fontId="7" fillId="0" borderId="39" xfId="8" applyFont="1" applyFill="1" applyBorder="1" applyAlignment="1">
      <alignment horizontal="right"/>
    </xf>
    <xf numFmtId="168" fontId="7" fillId="7" borderId="39" xfId="1" applyNumberFormat="1" applyFont="1" applyFill="1" applyBorder="1" applyAlignment="1">
      <alignment horizontal="right"/>
    </xf>
    <xf numFmtId="49" fontId="7" fillId="0" borderId="39" xfId="8" applyNumberFormat="1" applyFont="1" applyFill="1" applyBorder="1" applyAlignment="1">
      <alignment horizontal="center" vertical="center"/>
    </xf>
    <xf numFmtId="49" fontId="7" fillId="0" borderId="39" xfId="8" applyNumberFormat="1" applyFont="1" applyFill="1" applyBorder="1" applyAlignment="1">
      <alignment horizontal="center" vertical="center" wrapText="1"/>
    </xf>
    <xf numFmtId="197" fontId="7" fillId="2" borderId="39" xfId="8" applyNumberFormat="1" applyFont="1" applyFill="1" applyBorder="1" applyAlignment="1">
      <alignment horizontal="right"/>
    </xf>
    <xf numFmtId="168" fontId="0" fillId="0" borderId="0" xfId="0" applyNumberFormat="1"/>
    <xf numFmtId="49" fontId="7" fillId="0" borderId="73" xfId="0" applyNumberFormat="1" applyFont="1" applyFill="1" applyBorder="1" applyAlignment="1">
      <alignment horizontal="left"/>
    </xf>
    <xf numFmtId="49" fontId="7" fillId="0" borderId="74" xfId="0" applyNumberFormat="1" applyFont="1" applyFill="1" applyBorder="1" applyAlignment="1">
      <alignment horizontal="left"/>
    </xf>
    <xf numFmtId="49" fontId="7" fillId="2" borderId="75" xfId="8" applyNumberFormat="1" applyFont="1" applyFill="1" applyBorder="1" applyAlignment="1">
      <alignment horizontal="center" vertical="center" wrapText="1"/>
    </xf>
    <xf numFmtId="17" fontId="46" fillId="0" borderId="31" xfId="0" applyNumberFormat="1" applyFont="1" applyFill="1" applyBorder="1" applyAlignment="1">
      <alignment horizontal="center" vertical="center" wrapText="1"/>
    </xf>
    <xf numFmtId="17" fontId="46" fillId="0" borderId="31" xfId="0" applyNumberFormat="1" applyFont="1" applyBorder="1" applyAlignment="1">
      <alignment horizontal="center" vertical="center" wrapText="1"/>
    </xf>
    <xf numFmtId="165" fontId="7" fillId="2" borderId="75" xfId="8" applyNumberFormat="1" applyFont="1" applyFill="1" applyBorder="1" applyAlignment="1">
      <alignment horizontal="right"/>
    </xf>
    <xf numFmtId="171" fontId="7" fillId="2" borderId="75" xfId="8" applyNumberFormat="1" applyFont="1" applyFill="1" applyBorder="1" applyAlignment="1">
      <alignment horizontal="right"/>
    </xf>
    <xf numFmtId="165" fontId="7" fillId="7" borderId="74" xfId="8" applyNumberFormat="1" applyFont="1" applyFill="1" applyBorder="1" applyAlignment="1">
      <alignment horizontal="right"/>
    </xf>
    <xf numFmtId="49" fontId="7" fillId="2" borderId="75" xfId="8" applyNumberFormat="1" applyFont="1" applyFill="1" applyBorder="1" applyAlignment="1">
      <alignment horizontal="center" vertical="center"/>
    </xf>
    <xf numFmtId="49" fontId="43" fillId="0" borderId="31" xfId="0" applyNumberFormat="1" applyFont="1" applyFill="1" applyBorder="1" applyAlignment="1">
      <alignment horizontal="center" vertical="top" wrapText="1"/>
    </xf>
    <xf numFmtId="49" fontId="7" fillId="0" borderId="0" xfId="8" applyNumberFormat="1" applyFont="1" applyFill="1" applyAlignment="1">
      <alignment horizontal="left"/>
    </xf>
    <xf numFmtId="3" fontId="10" fillId="0" borderId="0" xfId="0" applyNumberFormat="1" applyFont="1" applyFill="1" applyBorder="1"/>
    <xf numFmtId="0" fontId="45" fillId="0" borderId="0" xfId="0" applyFont="1" applyFill="1" applyBorder="1" applyAlignment="1">
      <alignment horizontal="left" vertical="top"/>
    </xf>
    <xf numFmtId="0" fontId="45" fillId="0" borderId="0" xfId="0" applyFont="1" applyFill="1" applyAlignment="1">
      <alignment horizontal="left" vertical="top"/>
    </xf>
    <xf numFmtId="2" fontId="10" fillId="0" borderId="31" xfId="1" applyNumberFormat="1" applyFont="1" applyFill="1" applyBorder="1" applyAlignment="1">
      <alignment horizontal="right" vertical="top" wrapText="1"/>
    </xf>
    <xf numFmtId="49" fontId="8" fillId="0" borderId="0" xfId="0" applyNumberFormat="1" applyFont="1" applyFill="1" applyBorder="1" applyAlignment="1">
      <alignment horizontal="left"/>
    </xf>
    <xf numFmtId="0" fontId="8" fillId="0" borderId="4" xfId="0" applyFont="1" applyFill="1" applyBorder="1" applyAlignment="1">
      <alignment vertical="top"/>
    </xf>
    <xf numFmtId="0" fontId="8" fillId="0" borderId="4" xfId="0" applyFont="1" applyFill="1" applyBorder="1" applyAlignment="1">
      <alignment horizontal="right" vertical="top"/>
    </xf>
    <xf numFmtId="17" fontId="11" fillId="0" borderId="0" xfId="19" applyNumberFormat="1" applyFont="1" applyFill="1" applyBorder="1" applyAlignment="1">
      <alignment horizontal="left" vertical="top"/>
    </xf>
    <xf numFmtId="165" fontId="11" fillId="0" borderId="31" xfId="6" applyNumberFormat="1" applyFont="1" applyBorder="1" applyAlignment="1">
      <alignment horizontal="right"/>
    </xf>
    <xf numFmtId="194" fontId="11" fillId="0" borderId="31" xfId="0" applyNumberFormat="1" applyFont="1" applyBorder="1" applyAlignment="1">
      <alignment horizontal="right"/>
    </xf>
    <xf numFmtId="194" fontId="11" fillId="3" borderId="31" xfId="0" applyNumberFormat="1" applyFont="1" applyFill="1" applyBorder="1" applyAlignment="1">
      <alignment horizontal="right"/>
    </xf>
    <xf numFmtId="14" fontId="10" fillId="0" borderId="31" xfId="0" applyNumberFormat="1" applyFont="1" applyBorder="1" applyAlignment="1">
      <alignment horizontal="right"/>
    </xf>
    <xf numFmtId="194" fontId="10" fillId="0" borderId="31" xfId="0" applyNumberFormat="1" applyFont="1" applyBorder="1" applyAlignment="1">
      <alignment horizontal="center"/>
    </xf>
    <xf numFmtId="0" fontId="10" fillId="0" borderId="31" xfId="0" applyFont="1" applyBorder="1" applyAlignment="1">
      <alignment horizontal="center"/>
    </xf>
    <xf numFmtId="0" fontId="10" fillId="0" borderId="31" xfId="0" applyFont="1" applyBorder="1" applyProtection="1">
      <protection locked="0"/>
    </xf>
    <xf numFmtId="14" fontId="10" fillId="0" borderId="31" xfId="0" applyNumberFormat="1" applyFont="1" applyFill="1" applyBorder="1" applyAlignment="1">
      <alignment horizontal="right"/>
    </xf>
    <xf numFmtId="49" fontId="8" fillId="3" borderId="62" xfId="0" applyNumberFormat="1" applyFont="1" applyFill="1" applyBorder="1" applyAlignment="1">
      <alignment horizontal="left"/>
    </xf>
    <xf numFmtId="49" fontId="7" fillId="10" borderId="31" xfId="0" applyNumberFormat="1" applyFont="1" applyFill="1" applyBorder="1" applyAlignment="1">
      <alignment horizontal="left" vertical="center"/>
    </xf>
    <xf numFmtId="49" fontId="7" fillId="10" borderId="31" xfId="0" applyNumberFormat="1" applyFont="1" applyFill="1" applyBorder="1" applyAlignment="1">
      <alignment horizontal="center"/>
    </xf>
    <xf numFmtId="169" fontId="7" fillId="10" borderId="4" xfId="5" applyNumberFormat="1" applyFont="1" applyFill="1" applyBorder="1" applyAlignment="1">
      <alignment horizontal="center" vertical="top" wrapText="1"/>
    </xf>
    <xf numFmtId="49" fontId="7" fillId="2" borderId="0" xfId="8" applyNumberFormat="1" applyFont="1" applyFill="1" applyAlignment="1">
      <alignment horizontal="left"/>
    </xf>
    <xf numFmtId="49" fontId="7" fillId="2" borderId="0" xfId="8" applyNumberFormat="1" applyFont="1" applyFill="1" applyAlignment="1">
      <alignment horizontal="left" vertical="top" wrapText="1"/>
    </xf>
    <xf numFmtId="49" fontId="7" fillId="2" borderId="54" xfId="8" applyNumberFormat="1" applyFont="1" applyFill="1" applyBorder="1" applyAlignment="1">
      <alignment horizontal="center"/>
    </xf>
    <xf numFmtId="49" fontId="7" fillId="2" borderId="29" xfId="8" applyNumberFormat="1" applyFont="1" applyFill="1" applyBorder="1" applyAlignment="1">
      <alignment horizontal="center" vertical="center"/>
    </xf>
    <xf numFmtId="49" fontId="7" fillId="2" borderId="0" xfId="8" applyNumberFormat="1" applyFont="1" applyFill="1" applyAlignment="1">
      <alignment horizontal="left" wrapText="1"/>
    </xf>
    <xf numFmtId="49" fontId="8" fillId="2" borderId="0" xfId="8" applyNumberFormat="1" applyFont="1" applyFill="1" applyBorder="1" applyAlignment="1">
      <alignment horizontal="left" wrapText="1"/>
    </xf>
    <xf numFmtId="49" fontId="7" fillId="2" borderId="22" xfId="8" applyNumberFormat="1" applyFont="1" applyFill="1" applyBorder="1" applyAlignment="1">
      <alignment horizontal="center" vertical="center"/>
    </xf>
    <xf numFmtId="49" fontId="27" fillId="2" borderId="0" xfId="8" applyNumberFormat="1" applyFont="1" applyFill="1" applyAlignment="1">
      <alignment horizontal="left" vertical="top" wrapText="1"/>
    </xf>
    <xf numFmtId="49" fontId="7" fillId="2" borderId="0" xfId="8" applyNumberFormat="1" applyFont="1" applyFill="1" applyAlignment="1">
      <alignment horizontal="left" vertical="center"/>
    </xf>
    <xf numFmtId="49" fontId="8" fillId="2" borderId="0" xfId="8" applyNumberFormat="1" applyFont="1" applyFill="1" applyAlignment="1">
      <alignment horizontal="left"/>
    </xf>
    <xf numFmtId="0" fontId="12" fillId="0" borderId="31" xfId="12" applyFont="1" applyFill="1" applyBorder="1" applyAlignment="1">
      <alignment horizontal="center" vertical="center" wrapText="1"/>
    </xf>
    <xf numFmtId="49" fontId="7" fillId="2" borderId="31" xfId="8" applyNumberFormat="1" applyFont="1" applyFill="1" applyBorder="1" applyAlignment="1">
      <alignment horizontal="center" vertical="center"/>
    </xf>
    <xf numFmtId="49" fontId="7" fillId="2" borderId="74" xfId="8" applyNumberFormat="1" applyFont="1" applyFill="1" applyBorder="1" applyAlignment="1">
      <alignment horizontal="center" vertical="center"/>
    </xf>
    <xf numFmtId="0" fontId="7" fillId="0" borderId="74" xfId="0" applyFont="1" applyFill="1" applyBorder="1" applyAlignment="1">
      <alignment horizontal="center" vertical="center" wrapText="1"/>
    </xf>
    <xf numFmtId="165" fontId="8" fillId="0" borderId="31" xfId="0" applyNumberFormat="1" applyFont="1" applyFill="1" applyBorder="1" applyAlignment="1">
      <alignment horizontal="right"/>
    </xf>
    <xf numFmtId="0" fontId="8" fillId="2" borderId="31" xfId="0" applyFont="1" applyFill="1" applyBorder="1" applyAlignment="1">
      <alignment horizontal="right"/>
    </xf>
    <xf numFmtId="0" fontId="8" fillId="0" borderId="66" xfId="0" applyFont="1" applyFill="1" applyBorder="1" applyAlignment="1">
      <alignment horizontal="right"/>
    </xf>
    <xf numFmtId="1" fontId="8" fillId="2" borderId="31" xfId="0" applyNumberFormat="1" applyFont="1" applyFill="1" applyBorder="1" applyAlignment="1">
      <alignment horizontal="right"/>
    </xf>
    <xf numFmtId="0" fontId="8" fillId="2" borderId="66" xfId="0" applyFont="1" applyFill="1" applyBorder="1" applyAlignment="1">
      <alignment horizontal="right"/>
    </xf>
    <xf numFmtId="3" fontId="7" fillId="8" borderId="80" xfId="0" applyNumberFormat="1" applyFont="1" applyFill="1" applyBorder="1" applyAlignment="1">
      <alignment horizontal="right"/>
    </xf>
    <xf numFmtId="3" fontId="7" fillId="8" borderId="19" xfId="0" applyNumberFormat="1" applyFont="1" applyFill="1" applyBorder="1" applyAlignment="1">
      <alignment horizontal="right"/>
    </xf>
    <xf numFmtId="49" fontId="7" fillId="0" borderId="31" xfId="0" applyNumberFormat="1" applyFont="1" applyFill="1" applyBorder="1" applyAlignment="1">
      <alignment horizontal="left"/>
    </xf>
    <xf numFmtId="3" fontId="13" fillId="0" borderId="31" xfId="0" applyNumberFormat="1" applyFont="1" applyFill="1" applyBorder="1" applyAlignment="1">
      <alignment horizontal="right" vertical="center" wrapText="1"/>
    </xf>
    <xf numFmtId="49" fontId="7" fillId="0" borderId="76" xfId="0" applyNumberFormat="1" applyFont="1" applyFill="1" applyBorder="1" applyAlignment="1">
      <alignment horizontal="left"/>
    </xf>
    <xf numFmtId="49" fontId="7" fillId="2" borderId="74" xfId="0" applyNumberFormat="1" applyFont="1" applyFill="1" applyBorder="1" applyAlignment="1">
      <alignment horizontal="center" vertical="center" wrapText="1"/>
    </xf>
    <xf numFmtId="49" fontId="7" fillId="2" borderId="74" xfId="0" applyNumberFormat="1" applyFont="1" applyFill="1" applyBorder="1" applyAlignment="1">
      <alignment horizontal="center" vertical="center" wrapText="1"/>
    </xf>
    <xf numFmtId="3" fontId="9" fillId="8" borderId="31" xfId="8" applyNumberFormat="1" applyFont="1" applyFill="1" applyBorder="1" applyAlignment="1">
      <alignment horizontal="right" vertical="center"/>
    </xf>
    <xf numFmtId="49" fontId="7" fillId="2" borderId="75" xfId="8" applyNumberFormat="1" applyFont="1" applyFill="1" applyBorder="1" applyAlignment="1">
      <alignment horizontal="left"/>
    </xf>
    <xf numFmtId="17" fontId="13" fillId="4" borderId="31" xfId="8" applyNumberFormat="1" applyFont="1" applyFill="1" applyBorder="1" applyAlignment="1">
      <alignment horizontal="left" vertical="center"/>
    </xf>
    <xf numFmtId="49" fontId="7" fillId="3" borderId="75" xfId="8" applyNumberFormat="1" applyFont="1" applyFill="1" applyBorder="1" applyAlignment="1">
      <alignment horizontal="left"/>
    </xf>
    <xf numFmtId="165" fontId="8" fillId="2" borderId="75" xfId="8" applyNumberFormat="1" applyFont="1" applyFill="1" applyBorder="1" applyAlignment="1">
      <alignment horizontal="right"/>
    </xf>
    <xf numFmtId="199" fontId="6" fillId="3" borderId="0" xfId="3" applyNumberFormat="1" applyFont="1" applyFill="1" applyBorder="1" applyAlignment="1">
      <alignment horizontal="center"/>
    </xf>
    <xf numFmtId="0" fontId="7" fillId="2" borderId="75" xfId="8" applyFont="1" applyFill="1" applyBorder="1" applyAlignment="1">
      <alignment horizontal="right"/>
    </xf>
    <xf numFmtId="173" fontId="7" fillId="2" borderId="75" xfId="8" applyNumberFormat="1" applyFont="1" applyFill="1" applyBorder="1" applyAlignment="1">
      <alignment horizontal="right"/>
    </xf>
    <xf numFmtId="168" fontId="7" fillId="2" borderId="75" xfId="1" applyNumberFormat="1" applyFont="1" applyFill="1" applyBorder="1" applyAlignment="1">
      <alignment horizontal="right"/>
    </xf>
    <xf numFmtId="165" fontId="7" fillId="2" borderId="74" xfId="8" applyNumberFormat="1" applyFont="1" applyFill="1" applyBorder="1" applyAlignment="1">
      <alignment horizontal="right"/>
    </xf>
    <xf numFmtId="173" fontId="7" fillId="2" borderId="74" xfId="8" applyNumberFormat="1" applyFont="1" applyFill="1" applyBorder="1" applyAlignment="1">
      <alignment horizontal="right"/>
    </xf>
    <xf numFmtId="165" fontId="7" fillId="0" borderId="74" xfId="8" applyNumberFormat="1" applyFont="1" applyFill="1" applyBorder="1" applyAlignment="1">
      <alignment horizontal="right"/>
    </xf>
    <xf numFmtId="49" fontId="7" fillId="3" borderId="75" xfId="8" applyNumberFormat="1" applyFont="1" applyFill="1" applyBorder="1" applyAlignment="1">
      <alignment horizontal="center"/>
    </xf>
    <xf numFmtId="49" fontId="7" fillId="0" borderId="75" xfId="8" applyNumberFormat="1" applyFont="1" applyFill="1" applyBorder="1" applyAlignment="1">
      <alignment horizontal="center"/>
    </xf>
    <xf numFmtId="49" fontId="8" fillId="2" borderId="75" xfId="8" applyNumberFormat="1" applyFont="1" applyFill="1" applyBorder="1" applyAlignment="1">
      <alignment horizontal="left"/>
    </xf>
    <xf numFmtId="2" fontId="21" fillId="0" borderId="31" xfId="62" applyNumberFormat="1" applyFont="1" applyFill="1" applyBorder="1" applyAlignment="1">
      <alignment vertical="top"/>
    </xf>
    <xf numFmtId="177" fontId="8" fillId="2" borderId="75" xfId="8" applyNumberFormat="1" applyFont="1" applyFill="1" applyBorder="1" applyAlignment="1">
      <alignment horizontal="right"/>
    </xf>
    <xf numFmtId="177" fontId="8" fillId="0" borderId="75" xfId="8" applyNumberFormat="1" applyFont="1" applyFill="1" applyBorder="1" applyAlignment="1">
      <alignment horizontal="right"/>
    </xf>
    <xf numFmtId="2" fontId="31" fillId="0" borderId="31" xfId="63" applyNumberFormat="1" applyFont="1" applyFill="1" applyBorder="1" applyAlignment="1"/>
    <xf numFmtId="178" fontId="8" fillId="9" borderId="75" xfId="8" applyNumberFormat="1" applyFont="1" applyFill="1" applyBorder="1" applyAlignment="1">
      <alignment horizontal="right"/>
    </xf>
    <xf numFmtId="49" fontId="7" fillId="2" borderId="75" xfId="8" applyNumberFormat="1" applyFont="1" applyFill="1" applyBorder="1" applyAlignment="1">
      <alignment horizontal="center"/>
    </xf>
    <xf numFmtId="177" fontId="7" fillId="2" borderId="75" xfId="8" applyNumberFormat="1" applyFont="1" applyFill="1" applyBorder="1" applyAlignment="1">
      <alignment horizontal="right"/>
    </xf>
    <xf numFmtId="177" fontId="7" fillId="0" borderId="74" xfId="8" applyNumberFormat="1" applyFont="1" applyFill="1" applyBorder="1" applyAlignment="1">
      <alignment horizontal="right"/>
    </xf>
    <xf numFmtId="177" fontId="7" fillId="0" borderId="75" xfId="8" applyNumberFormat="1" applyFont="1" applyFill="1" applyBorder="1" applyAlignment="1">
      <alignment horizontal="right"/>
    </xf>
    <xf numFmtId="179" fontId="7" fillId="2" borderId="75" xfId="8" applyNumberFormat="1" applyFont="1" applyFill="1" applyBorder="1" applyAlignment="1">
      <alignment horizontal="right"/>
    </xf>
    <xf numFmtId="179" fontId="7" fillId="2" borderId="74" xfId="8" applyNumberFormat="1" applyFont="1" applyFill="1" applyBorder="1" applyAlignment="1">
      <alignment horizontal="right"/>
    </xf>
    <xf numFmtId="49" fontId="7" fillId="2" borderId="75" xfId="8" applyNumberFormat="1" applyFont="1" applyFill="1" applyBorder="1" applyAlignment="1">
      <alignment horizontal="center" vertical="top" wrapText="1"/>
    </xf>
    <xf numFmtId="0" fontId="7" fillId="2" borderId="74" xfId="8" applyFont="1" applyFill="1" applyBorder="1" applyAlignment="1">
      <alignment horizontal="center" vertical="top" wrapText="1"/>
    </xf>
    <xf numFmtId="49" fontId="7" fillId="2" borderId="74" xfId="8" applyNumberFormat="1" applyFont="1" applyFill="1" applyBorder="1" applyAlignment="1">
      <alignment horizontal="center" vertical="top" wrapText="1"/>
    </xf>
    <xf numFmtId="0" fontId="7" fillId="0" borderId="74" xfId="8" applyFont="1" applyFill="1" applyBorder="1" applyAlignment="1">
      <alignment horizontal="center" vertical="top" wrapText="1"/>
    </xf>
    <xf numFmtId="49" fontId="23" fillId="2" borderId="75" xfId="8" applyNumberFormat="1" applyFont="1" applyFill="1" applyBorder="1" applyAlignment="1">
      <alignment horizontal="left" vertical="center" wrapText="1"/>
    </xf>
    <xf numFmtId="190" fontId="8" fillId="2" borderId="31" xfId="8" applyNumberFormat="1" applyFont="1" applyFill="1" applyBorder="1" applyAlignment="1">
      <alignment horizontal="right"/>
    </xf>
    <xf numFmtId="0" fontId="22" fillId="0" borderId="72" xfId="8" applyNumberFormat="1" applyFont="1" applyFill="1" applyBorder="1" applyAlignment="1">
      <alignment horizontal="center" vertical="top"/>
    </xf>
    <xf numFmtId="2" fontId="24" fillId="0" borderId="72" xfId="8" applyNumberFormat="1" applyFont="1" applyBorder="1" applyAlignment="1">
      <alignment vertical="top"/>
    </xf>
    <xf numFmtId="3" fontId="22" fillId="0" borderId="72" xfId="8" applyNumberFormat="1" applyFont="1" applyFill="1" applyBorder="1" applyAlignment="1">
      <alignment horizontal="right" vertical="top"/>
    </xf>
    <xf numFmtId="4" fontId="22" fillId="0" borderId="72" xfId="8" applyNumberFormat="1" applyFont="1" applyFill="1" applyBorder="1" applyAlignment="1">
      <alignment horizontal="center" vertical="top"/>
    </xf>
    <xf numFmtId="4" fontId="22" fillId="0" borderId="72" xfId="8" applyNumberFormat="1" applyFont="1" applyFill="1" applyBorder="1" applyAlignment="1">
      <alignment horizontal="right" vertical="top"/>
    </xf>
    <xf numFmtId="180" fontId="22" fillId="0" borderId="72" xfId="8" applyNumberFormat="1" applyFont="1" applyFill="1" applyBorder="1" applyAlignment="1">
      <alignment horizontal="right" vertical="top"/>
    </xf>
    <xf numFmtId="2" fontId="22" fillId="0" borderId="72" xfId="8" applyNumberFormat="1" applyFont="1" applyFill="1" applyBorder="1" applyAlignment="1">
      <alignment horizontal="right" vertical="top"/>
    </xf>
    <xf numFmtId="49" fontId="25" fillId="2" borderId="75" xfId="8" applyNumberFormat="1" applyFont="1" applyFill="1" applyBorder="1" applyAlignment="1">
      <alignment horizontal="center" vertical="top" wrapText="1"/>
    </xf>
    <xf numFmtId="0" fontId="25" fillId="2" borderId="75" xfId="8" applyFont="1" applyFill="1" applyBorder="1" applyAlignment="1">
      <alignment horizontal="center" vertical="top" wrapText="1"/>
    </xf>
    <xf numFmtId="49" fontId="23" fillId="0" borderId="75" xfId="8" applyNumberFormat="1" applyFont="1" applyFill="1" applyBorder="1" applyAlignment="1">
      <alignment horizontal="left" vertical="center" wrapText="1"/>
    </xf>
    <xf numFmtId="49" fontId="7" fillId="2" borderId="74" xfId="8" applyNumberFormat="1" applyFont="1" applyFill="1" applyBorder="1" applyAlignment="1">
      <alignment horizontal="center" vertical="center" wrapText="1"/>
    </xf>
    <xf numFmtId="49" fontId="7" fillId="0" borderId="74" xfId="8" applyNumberFormat="1" applyFont="1" applyFill="1" applyBorder="1" applyAlignment="1">
      <alignment horizontal="center" vertical="center" wrapText="1"/>
    </xf>
    <xf numFmtId="0" fontId="27" fillId="2" borderId="75" xfId="8" applyFont="1" applyFill="1" applyBorder="1" applyAlignment="1">
      <alignment horizontal="center" vertical="center"/>
    </xf>
    <xf numFmtId="49" fontId="27" fillId="2" borderId="75" xfId="8" applyNumberFormat="1" applyFont="1" applyFill="1" applyBorder="1" applyAlignment="1">
      <alignment horizontal="left" vertical="center"/>
    </xf>
    <xf numFmtId="0" fontId="27" fillId="2" borderId="74" xfId="8" applyFont="1" applyFill="1" applyBorder="1" applyAlignment="1">
      <alignment horizontal="center" vertical="center"/>
    </xf>
    <xf numFmtId="49" fontId="27" fillId="2" borderId="74" xfId="8" applyNumberFormat="1" applyFont="1" applyFill="1" applyBorder="1" applyAlignment="1">
      <alignment horizontal="left" vertical="center"/>
    </xf>
    <xf numFmtId="49" fontId="7" fillId="3" borderId="75" xfId="8" applyNumberFormat="1" applyFont="1" applyFill="1" applyBorder="1" applyAlignment="1">
      <alignment horizontal="center" vertical="center" wrapText="1"/>
    </xf>
    <xf numFmtId="182" fontId="7" fillId="2" borderId="75" xfId="8" applyNumberFormat="1" applyFont="1" applyFill="1" applyBorder="1" applyAlignment="1">
      <alignment horizontal="right"/>
    </xf>
    <xf numFmtId="165" fontId="7" fillId="0" borderId="75" xfId="8" applyNumberFormat="1" applyFont="1" applyFill="1" applyBorder="1" applyAlignment="1">
      <alignment horizontal="right"/>
    </xf>
    <xf numFmtId="182" fontId="7" fillId="0" borderId="75" xfId="8" applyNumberFormat="1" applyFont="1" applyFill="1" applyBorder="1" applyAlignment="1">
      <alignment horizontal="right"/>
    </xf>
    <xf numFmtId="0" fontId="7" fillId="0" borderId="75" xfId="8" applyFont="1" applyFill="1" applyBorder="1" applyAlignment="1">
      <alignment horizontal="right"/>
    </xf>
    <xf numFmtId="183" fontId="7" fillId="0" borderId="75" xfId="8" applyNumberFormat="1" applyFont="1" applyFill="1" applyBorder="1" applyAlignment="1">
      <alignment horizontal="right"/>
    </xf>
    <xf numFmtId="175" fontId="7" fillId="7" borderId="74" xfId="8" applyNumberFormat="1" applyFont="1" applyFill="1" applyBorder="1" applyAlignment="1">
      <alignment horizontal="right"/>
    </xf>
    <xf numFmtId="184" fontId="7" fillId="2" borderId="75" xfId="8" applyNumberFormat="1" applyFont="1" applyFill="1" applyBorder="1" applyAlignment="1">
      <alignment horizontal="right"/>
    </xf>
    <xf numFmtId="175" fontId="12" fillId="0" borderId="74" xfId="8" applyNumberFormat="1" applyFont="1" applyFill="1" applyBorder="1" applyAlignment="1">
      <alignment horizontal="right"/>
    </xf>
    <xf numFmtId="185" fontId="7" fillId="2" borderId="74" xfId="8" applyNumberFormat="1" applyFont="1" applyFill="1" applyBorder="1" applyAlignment="1">
      <alignment horizontal="right"/>
    </xf>
    <xf numFmtId="49" fontId="7" fillId="3" borderId="75" xfId="8" applyNumberFormat="1" applyFont="1" applyFill="1" applyBorder="1" applyAlignment="1">
      <alignment horizontal="center" vertical="center"/>
    </xf>
    <xf numFmtId="49" fontId="7" fillId="3" borderId="73" xfId="8" applyNumberFormat="1" applyFont="1" applyFill="1" applyBorder="1" applyAlignment="1">
      <alignment horizontal="center"/>
    </xf>
    <xf numFmtId="49" fontId="7" fillId="3" borderId="83" xfId="8" applyNumberFormat="1" applyFont="1" applyFill="1" applyBorder="1" applyAlignment="1">
      <alignment horizontal="center"/>
    </xf>
    <xf numFmtId="49" fontId="7" fillId="3" borderId="78" xfId="8" applyNumberFormat="1" applyFont="1" applyFill="1" applyBorder="1" applyAlignment="1">
      <alignment horizontal="center"/>
    </xf>
    <xf numFmtId="177" fontId="7" fillId="3" borderId="74" xfId="8" applyNumberFormat="1" applyFont="1" applyFill="1" applyBorder="1" applyAlignment="1">
      <alignment horizontal="right"/>
    </xf>
    <xf numFmtId="177" fontId="7" fillId="3" borderId="76" xfId="8" applyNumberFormat="1" applyFont="1" applyFill="1" applyBorder="1" applyAlignment="1">
      <alignment horizontal="right"/>
    </xf>
    <xf numFmtId="177" fontId="7" fillId="3" borderId="69" xfId="8" applyNumberFormat="1" applyFont="1" applyFill="1" applyBorder="1" applyAlignment="1">
      <alignment horizontal="right"/>
    </xf>
    <xf numFmtId="177" fontId="7" fillId="3" borderId="82" xfId="8" applyNumberFormat="1" applyFont="1" applyFill="1" applyBorder="1" applyAlignment="1">
      <alignment horizontal="right"/>
    </xf>
    <xf numFmtId="177" fontId="7" fillId="3" borderId="68" xfId="8" applyNumberFormat="1" applyFont="1" applyFill="1" applyBorder="1" applyAlignment="1">
      <alignment horizontal="right"/>
    </xf>
    <xf numFmtId="1" fontId="7" fillId="3" borderId="82" xfId="8" applyNumberFormat="1" applyFont="1" applyFill="1" applyBorder="1" applyAlignment="1">
      <alignment horizontal="right"/>
    </xf>
    <xf numFmtId="1" fontId="7" fillId="3" borderId="74" xfId="8" applyNumberFormat="1" applyFont="1" applyFill="1" applyBorder="1" applyAlignment="1">
      <alignment horizontal="right"/>
    </xf>
    <xf numFmtId="177" fontId="8" fillId="0" borderId="84" xfId="8" applyNumberFormat="1" applyFont="1" applyFill="1" applyBorder="1" applyAlignment="1">
      <alignment horizontal="right"/>
    </xf>
    <xf numFmtId="177" fontId="8" fillId="0" borderId="64" xfId="8" applyNumberFormat="1" applyFont="1" applyFill="1" applyBorder="1" applyAlignment="1">
      <alignment horizontal="right"/>
    </xf>
    <xf numFmtId="177" fontId="8" fillId="0" borderId="85" xfId="8" applyNumberFormat="1" applyFont="1" applyFill="1" applyBorder="1" applyAlignment="1">
      <alignment horizontal="right"/>
    </xf>
    <xf numFmtId="1" fontId="8" fillId="0" borderId="63" xfId="8" applyNumberFormat="1" applyFont="1" applyFill="1" applyBorder="1" applyAlignment="1">
      <alignment horizontal="right"/>
    </xf>
    <xf numFmtId="177" fontId="8" fillId="0" borderId="86" xfId="8" applyNumberFormat="1" applyFont="1" applyFill="1" applyBorder="1" applyAlignment="1">
      <alignment horizontal="right"/>
    </xf>
    <xf numFmtId="177" fontId="8" fillId="0" borderId="61" xfId="8" applyNumberFormat="1" applyFont="1" applyFill="1" applyBorder="1" applyAlignment="1">
      <alignment horizontal="right"/>
    </xf>
    <xf numFmtId="177" fontId="8" fillId="0" borderId="56" xfId="8" applyNumberFormat="1" applyFont="1" applyFill="1" applyBorder="1" applyAlignment="1">
      <alignment horizontal="right"/>
    </xf>
    <xf numFmtId="177" fontId="8" fillId="0" borderId="87" xfId="8" applyNumberFormat="1" applyFont="1" applyFill="1" applyBorder="1" applyAlignment="1">
      <alignment horizontal="right"/>
    </xf>
    <xf numFmtId="1" fontId="8" fillId="0" borderId="52" xfId="8" applyNumberFormat="1" applyFont="1" applyFill="1" applyBorder="1" applyAlignment="1">
      <alignment horizontal="right"/>
    </xf>
    <xf numFmtId="177" fontId="8" fillId="0" borderId="88" xfId="8" applyNumberFormat="1" applyFont="1" applyFill="1" applyBorder="1" applyAlignment="1">
      <alignment horizontal="right"/>
    </xf>
    <xf numFmtId="177" fontId="8" fillId="0" borderId="52" xfId="8" applyNumberFormat="1" applyFont="1" applyFill="1" applyBorder="1" applyAlignment="1">
      <alignment horizontal="right"/>
    </xf>
    <xf numFmtId="177" fontId="8" fillId="0" borderId="89" xfId="8" applyNumberFormat="1" applyFont="1" applyFill="1" applyBorder="1" applyAlignment="1">
      <alignment horizontal="right"/>
    </xf>
    <xf numFmtId="177" fontId="8" fillId="0" borderId="54" xfId="8" applyNumberFormat="1" applyFont="1" applyFill="1" applyBorder="1" applyAlignment="1">
      <alignment horizontal="right"/>
    </xf>
    <xf numFmtId="177" fontId="10" fillId="0" borderId="31" xfId="8" applyNumberFormat="1" applyFont="1" applyFill="1" applyBorder="1" applyAlignment="1">
      <alignment horizontal="right"/>
    </xf>
    <xf numFmtId="177" fontId="10" fillId="0" borderId="38" xfId="8" applyNumberFormat="1" applyFont="1" applyFill="1" applyBorder="1" applyAlignment="1">
      <alignment horizontal="right"/>
    </xf>
    <xf numFmtId="177" fontId="10" fillId="0" borderId="89" xfId="8" applyNumberFormat="1" applyFont="1" applyFill="1" applyBorder="1" applyAlignment="1">
      <alignment horizontal="right"/>
    </xf>
    <xf numFmtId="0" fontId="1" fillId="0" borderId="0" xfId="0" applyFont="1"/>
    <xf numFmtId="1" fontId="10" fillId="0" borderId="52" xfId="8" applyNumberFormat="1" applyFont="1" applyFill="1" applyBorder="1" applyAlignment="1">
      <alignment horizontal="right"/>
    </xf>
    <xf numFmtId="1" fontId="10" fillId="0" borderId="31" xfId="8" applyNumberFormat="1" applyFont="1" applyFill="1" applyBorder="1" applyAlignment="1">
      <alignment horizontal="right"/>
    </xf>
    <xf numFmtId="0" fontId="8" fillId="2" borderId="52" xfId="8" applyFont="1" applyFill="1" applyBorder="1" applyAlignment="1">
      <alignment vertical="center"/>
    </xf>
    <xf numFmtId="0" fontId="9" fillId="0" borderId="88" xfId="8" applyNumberFormat="1" applyFont="1" applyFill="1" applyBorder="1" applyAlignment="1">
      <alignment horizontal="right" vertical="center"/>
    </xf>
    <xf numFmtId="3" fontId="9" fillId="0" borderId="52" xfId="8" applyNumberFormat="1" applyFont="1" applyFill="1" applyBorder="1" applyAlignment="1">
      <alignment horizontal="right" vertical="center"/>
    </xf>
    <xf numFmtId="0" fontId="8" fillId="0" borderId="90" xfId="8" applyFont="1" applyFill="1" applyBorder="1" applyAlignment="1">
      <alignment vertical="center"/>
    </xf>
    <xf numFmtId="49" fontId="7" fillId="0" borderId="53" xfId="0" applyNumberFormat="1" applyFont="1" applyFill="1" applyBorder="1" applyAlignment="1">
      <alignment horizontal="left"/>
    </xf>
    <xf numFmtId="177" fontId="7" fillId="0" borderId="88" xfId="8" applyNumberFormat="1" applyFont="1" applyFill="1" applyBorder="1" applyAlignment="1">
      <alignment horizontal="right"/>
    </xf>
    <xf numFmtId="177" fontId="7" fillId="0" borderId="87" xfId="8" applyNumberFormat="1" applyFont="1" applyFill="1" applyBorder="1" applyAlignment="1">
      <alignment horizontal="right"/>
    </xf>
    <xf numFmtId="49" fontId="7" fillId="0" borderId="51" xfId="0" applyNumberFormat="1" applyFont="1" applyFill="1" applyBorder="1" applyAlignment="1">
      <alignment horizontal="left"/>
    </xf>
    <xf numFmtId="177" fontId="15" fillId="0" borderId="51" xfId="8" applyNumberFormat="1" applyFont="1" applyFill="1" applyBorder="1" applyAlignment="1">
      <alignment horizontal="right"/>
    </xf>
    <xf numFmtId="177" fontId="15" fillId="0" borderId="40" xfId="8" applyNumberFormat="1" applyFont="1" applyFill="1" applyBorder="1" applyAlignment="1">
      <alignment horizontal="right"/>
    </xf>
    <xf numFmtId="177" fontId="15" fillId="0" borderId="92" xfId="8" applyNumberFormat="1" applyFont="1" applyFill="1" applyBorder="1" applyAlignment="1">
      <alignment horizontal="right"/>
    </xf>
    <xf numFmtId="177" fontId="15" fillId="0" borderId="41" xfId="8" applyNumberFormat="1" applyFont="1" applyFill="1" applyBorder="1" applyAlignment="1">
      <alignment horizontal="right"/>
    </xf>
    <xf numFmtId="177" fontId="15" fillId="0" borderId="87" xfId="8" applyNumberFormat="1" applyFont="1" applyFill="1" applyBorder="1" applyAlignment="1">
      <alignment horizontal="right"/>
    </xf>
    <xf numFmtId="1" fontId="15" fillId="0" borderId="41" xfId="8" applyNumberFormat="1" applyFont="1" applyFill="1" applyBorder="1" applyAlignment="1">
      <alignment horizontal="right"/>
    </xf>
    <xf numFmtId="1" fontId="15" fillId="0" borderId="51" xfId="8" applyNumberFormat="1" applyFont="1" applyFill="1" applyBorder="1" applyAlignment="1">
      <alignment horizontal="right"/>
    </xf>
    <xf numFmtId="177" fontId="8" fillId="0" borderId="92" xfId="8" applyNumberFormat="1" applyFont="1" applyFill="1" applyBorder="1" applyAlignment="1">
      <alignment horizontal="right"/>
    </xf>
    <xf numFmtId="179" fontId="9" fillId="0" borderId="93" xfId="8" applyNumberFormat="1" applyFont="1" applyFill="1" applyBorder="1" applyAlignment="1">
      <alignment horizontal="right" vertical="center"/>
    </xf>
    <xf numFmtId="179" fontId="9" fillId="0" borderId="52" xfId="8" applyNumberFormat="1" applyFont="1" applyFill="1" applyBorder="1" applyAlignment="1">
      <alignment horizontal="right" vertical="center"/>
    </xf>
    <xf numFmtId="179" fontId="8" fillId="0" borderId="90" xfId="8" applyNumberFormat="1" applyFont="1" applyFill="1" applyBorder="1" applyAlignment="1">
      <alignment vertical="center"/>
    </xf>
    <xf numFmtId="165" fontId="7" fillId="7" borderId="51" xfId="8" applyNumberFormat="1" applyFont="1" applyFill="1" applyBorder="1" applyAlignment="1">
      <alignment horizontal="right"/>
    </xf>
    <xf numFmtId="175" fontId="7" fillId="7" borderId="51" xfId="8" applyNumberFormat="1" applyFont="1" applyFill="1" applyBorder="1" applyAlignment="1">
      <alignment horizontal="right"/>
    </xf>
    <xf numFmtId="179" fontId="7" fillId="2" borderId="51" xfId="8" applyNumberFormat="1" applyFont="1" applyFill="1" applyBorder="1" applyAlignment="1">
      <alignment horizontal="right" vertical="center" wrapText="1"/>
    </xf>
    <xf numFmtId="178" fontId="7" fillId="2" borderId="51" xfId="8" applyNumberFormat="1" applyFont="1" applyFill="1" applyBorder="1" applyAlignment="1">
      <alignment horizontal="right" vertical="center" wrapText="1"/>
    </xf>
    <xf numFmtId="183" fontId="7" fillId="2" borderId="51" xfId="8" applyNumberFormat="1" applyFont="1" applyFill="1" applyBorder="1" applyAlignment="1">
      <alignment horizontal="right" vertical="center" wrapText="1"/>
    </xf>
    <xf numFmtId="0" fontId="12" fillId="0" borderId="31" xfId="64" applyFont="1" applyFill="1" applyBorder="1" applyAlignment="1">
      <alignment horizontal="center" vertical="center" wrapText="1"/>
    </xf>
    <xf numFmtId="188" fontId="12" fillId="0" borderId="31" xfId="64" applyNumberFormat="1" applyFont="1" applyFill="1" applyBorder="1" applyAlignment="1">
      <alignment horizontal="center" vertical="top" wrapText="1"/>
    </xf>
    <xf numFmtId="188" fontId="12" fillId="0" borderId="31" xfId="64" applyNumberFormat="1" applyFont="1" applyFill="1" applyBorder="1" applyAlignment="1">
      <alignment horizontal="center" vertical="top"/>
    </xf>
    <xf numFmtId="1" fontId="7" fillId="0" borderId="39" xfId="65" applyNumberFormat="1" applyFont="1" applyFill="1" applyBorder="1" applyAlignment="1">
      <alignment horizontal="right"/>
    </xf>
    <xf numFmtId="168" fontId="13" fillId="0" borderId="31" xfId="65" applyNumberFormat="1" applyFont="1" applyFill="1" applyBorder="1" applyAlignment="1" applyProtection="1">
      <alignment horizontal="right" vertical="center" wrapText="1"/>
    </xf>
    <xf numFmtId="168" fontId="7" fillId="0" borderId="31" xfId="65" applyNumberFormat="1" applyFont="1" applyFill="1" applyBorder="1" applyAlignment="1" applyProtection="1">
      <alignment horizontal="right" vertical="center" wrapText="1"/>
    </xf>
    <xf numFmtId="189" fontId="7" fillId="0" borderId="31" xfId="65" applyNumberFormat="1" applyFont="1" applyFill="1" applyBorder="1" applyAlignment="1" applyProtection="1">
      <alignment horizontal="right" vertical="center" wrapText="1"/>
    </xf>
    <xf numFmtId="168" fontId="7" fillId="0" borderId="31" xfId="65" applyNumberFormat="1" applyFont="1" applyFill="1" applyBorder="1" applyAlignment="1">
      <alignment horizontal="right" vertical="center" wrapText="1"/>
    </xf>
    <xf numFmtId="168" fontId="13" fillId="7" borderId="31" xfId="65" applyNumberFormat="1" applyFont="1" applyFill="1" applyBorder="1" applyAlignment="1" applyProtection="1">
      <alignment horizontal="right" vertical="center" wrapText="1"/>
    </xf>
    <xf numFmtId="3" fontId="9" fillId="0" borderId="31" xfId="65" applyNumberFormat="1" applyFont="1" applyFill="1" applyBorder="1" applyAlignment="1" applyProtection="1">
      <alignment horizontal="right" vertical="center" wrapText="1"/>
      <protection locked="0"/>
    </xf>
    <xf numFmtId="168" fontId="8" fillId="0" borderId="31" xfId="65" applyNumberFormat="1" applyFont="1" applyFill="1" applyBorder="1" applyAlignment="1">
      <alignment horizontal="right" vertical="center" wrapText="1"/>
    </xf>
    <xf numFmtId="3" fontId="9" fillId="0" borderId="31" xfId="65" applyNumberFormat="1" applyFont="1" applyFill="1" applyBorder="1" applyAlignment="1">
      <alignment horizontal="right" vertical="center" wrapText="1"/>
    </xf>
    <xf numFmtId="189" fontId="8" fillId="0" borderId="31" xfId="65" applyNumberFormat="1" applyFont="1" applyFill="1" applyBorder="1" applyAlignment="1" applyProtection="1">
      <alignment horizontal="right" vertical="center" wrapText="1"/>
    </xf>
    <xf numFmtId="3" fontId="9" fillId="0" borderId="91" xfId="65" applyNumberFormat="1" applyFont="1" applyFill="1" applyBorder="1" applyAlignment="1">
      <alignment horizontal="right" vertical="center" wrapText="1"/>
    </xf>
    <xf numFmtId="168" fontId="8" fillId="0" borderId="91" xfId="65" applyNumberFormat="1" applyFont="1" applyFill="1" applyBorder="1" applyAlignment="1">
      <alignment horizontal="right" vertical="center" wrapText="1"/>
    </xf>
    <xf numFmtId="165" fontId="8" fillId="2" borderId="51" xfId="8" applyNumberFormat="1" applyFont="1" applyFill="1" applyBorder="1" applyAlignment="1">
      <alignment horizontal="right"/>
    </xf>
    <xf numFmtId="1" fontId="8" fillId="0" borderId="91" xfId="15" applyNumberFormat="1" applyFont="1" applyFill="1" applyBorder="1" applyAlignment="1" applyProtection="1">
      <alignment horizontal="right" vertical="center" wrapText="1"/>
    </xf>
    <xf numFmtId="3" fontId="8" fillId="0" borderId="91" xfId="15" applyNumberFormat="1" applyFont="1" applyFill="1" applyBorder="1" applyAlignment="1" applyProtection="1">
      <alignment horizontal="right" vertical="center" wrapText="1"/>
    </xf>
    <xf numFmtId="188" fontId="12" fillId="0" borderId="91" xfId="12" applyNumberFormat="1" applyFont="1" applyFill="1" applyBorder="1" applyAlignment="1">
      <alignment horizontal="center" vertical="top"/>
    </xf>
    <xf numFmtId="0" fontId="8" fillId="0" borderId="31" xfId="15" applyNumberFormat="1" applyFont="1" applyFill="1" applyBorder="1" applyAlignment="1">
      <alignment horizontal="right" vertical="center" wrapText="1"/>
    </xf>
    <xf numFmtId="177" fontId="7" fillId="2" borderId="91" xfId="8" applyNumberFormat="1" applyFont="1" applyFill="1" applyBorder="1" applyAlignment="1">
      <alignment horizontal="right"/>
    </xf>
    <xf numFmtId="177" fontId="7" fillId="7" borderId="51" xfId="8" applyNumberFormat="1" applyFont="1" applyFill="1" applyBorder="1" applyAlignment="1">
      <alignment horizontal="right"/>
    </xf>
    <xf numFmtId="177" fontId="7" fillId="3" borderId="51" xfId="8" applyNumberFormat="1" applyFont="1" applyFill="1" applyBorder="1" applyAlignment="1">
      <alignment horizontal="right"/>
    </xf>
    <xf numFmtId="177" fontId="7" fillId="0" borderId="51" xfId="8" applyNumberFormat="1" applyFont="1" applyFill="1" applyBorder="1" applyAlignment="1">
      <alignment horizontal="right"/>
    </xf>
    <xf numFmtId="175" fontId="8" fillId="2" borderId="31" xfId="8" applyNumberFormat="1" applyFont="1" applyFill="1" applyBorder="1" applyAlignment="1">
      <alignment horizontal="right" vertical="top"/>
    </xf>
    <xf numFmtId="178" fontId="7" fillId="2" borderId="51" xfId="8" applyNumberFormat="1" applyFont="1" applyFill="1" applyBorder="1" applyAlignment="1">
      <alignment horizontal="right"/>
    </xf>
    <xf numFmtId="178" fontId="7" fillId="2" borderId="91" xfId="8" applyNumberFormat="1" applyFont="1" applyFill="1" applyBorder="1" applyAlignment="1">
      <alignment horizontal="right"/>
    </xf>
    <xf numFmtId="49" fontId="7" fillId="0" borderId="54" xfId="8" applyNumberFormat="1" applyFont="1" applyFill="1" applyBorder="1" applyAlignment="1">
      <alignment horizontal="center" vertical="center"/>
    </xf>
    <xf numFmtId="3" fontId="7" fillId="0" borderId="80" xfId="17" applyNumberFormat="1" applyFont="1" applyFill="1" applyBorder="1" applyAlignment="1">
      <alignment horizontal="right"/>
    </xf>
    <xf numFmtId="3" fontId="7" fillId="0" borderId="51" xfId="8" applyNumberFormat="1" applyFont="1" applyFill="1" applyBorder="1" applyAlignment="1">
      <alignment horizontal="right"/>
    </xf>
    <xf numFmtId="49" fontId="7" fillId="2" borderId="53" xfId="8" applyNumberFormat="1" applyFont="1" applyFill="1" applyBorder="1" applyAlignment="1">
      <alignment horizontal="center" vertical="center" wrapText="1"/>
    </xf>
    <xf numFmtId="49" fontId="8" fillId="2" borderId="39" xfId="8" applyNumberFormat="1" applyFont="1" applyFill="1" applyBorder="1" applyAlignment="1">
      <alignment horizontal="left" vertical="top" wrapText="1"/>
    </xf>
    <xf numFmtId="49" fontId="32" fillId="2" borderId="39" xfId="8" applyNumberFormat="1" applyFont="1" applyFill="1" applyBorder="1" applyAlignment="1">
      <alignment horizontal="center"/>
    </xf>
    <xf numFmtId="165" fontId="8" fillId="0" borderId="39" xfId="8" applyNumberFormat="1" applyFont="1" applyFill="1" applyBorder="1" applyAlignment="1">
      <alignment horizontal="right"/>
    </xf>
    <xf numFmtId="183" fontId="8" fillId="7" borderId="39" xfId="8" applyNumberFormat="1" applyFont="1" applyFill="1" applyBorder="1" applyAlignment="1">
      <alignment horizontal="right"/>
    </xf>
    <xf numFmtId="173" fontId="8" fillId="0" borderId="39" xfId="8" applyNumberFormat="1" applyFont="1" applyFill="1" applyBorder="1" applyAlignment="1">
      <alignment horizontal="right"/>
    </xf>
    <xf numFmtId="49" fontId="8" fillId="2" borderId="97" xfId="8" applyNumberFormat="1" applyFont="1" applyFill="1" applyBorder="1" applyAlignment="1">
      <alignment horizontal="left" vertical="top"/>
    </xf>
    <xf numFmtId="49" fontId="32" fillId="2" borderId="97" xfId="8" applyNumberFormat="1" applyFont="1" applyFill="1" applyBorder="1" applyAlignment="1">
      <alignment horizontal="center"/>
    </xf>
    <xf numFmtId="165" fontId="8" fillId="2" borderId="97" xfId="8" applyNumberFormat="1" applyFont="1" applyFill="1" applyBorder="1" applyAlignment="1">
      <alignment horizontal="right"/>
    </xf>
    <xf numFmtId="183" fontId="8" fillId="2" borderId="97" xfId="8" applyNumberFormat="1" applyFont="1" applyFill="1" applyBorder="1" applyAlignment="1">
      <alignment horizontal="right"/>
    </xf>
    <xf numFmtId="49" fontId="8" fillId="2" borderId="39" xfId="8" applyNumberFormat="1" applyFont="1" applyFill="1" applyBorder="1" applyAlignment="1">
      <alignment horizontal="left" wrapText="1"/>
    </xf>
    <xf numFmtId="49" fontId="8" fillId="2" borderId="39" xfId="8" applyNumberFormat="1" applyFont="1" applyFill="1" applyBorder="1" applyAlignment="1">
      <alignment horizontal="center" vertical="center"/>
    </xf>
    <xf numFmtId="165" fontId="8" fillId="7" borderId="39" xfId="8" applyNumberFormat="1" applyFont="1" applyFill="1" applyBorder="1" applyAlignment="1">
      <alignment horizontal="right"/>
    </xf>
    <xf numFmtId="3" fontId="8" fillId="0" borderId="39" xfId="8" applyNumberFormat="1" applyFont="1" applyFill="1" applyBorder="1" applyAlignment="1">
      <alignment horizontal="right"/>
    </xf>
    <xf numFmtId="165" fontId="8" fillId="2" borderId="0" xfId="8" applyNumberFormat="1" applyFont="1" applyFill="1" applyBorder="1" applyAlignment="1">
      <alignment horizontal="left"/>
    </xf>
    <xf numFmtId="3" fontId="8" fillId="0" borderId="0" xfId="0" applyNumberFormat="1" applyFont="1" applyFill="1" applyBorder="1" applyAlignment="1">
      <alignment horizontal="right" vertical="top"/>
    </xf>
    <xf numFmtId="168" fontId="8" fillId="0" borderId="0" xfId="0" applyNumberFormat="1" applyFont="1" applyFill="1" applyBorder="1" applyAlignment="1">
      <alignment horizontal="right" vertical="top"/>
    </xf>
    <xf numFmtId="0" fontId="10" fillId="3" borderId="0" xfId="0" applyFont="1" applyFill="1" applyAlignment="1"/>
    <xf numFmtId="168" fontId="7" fillId="2" borderId="98" xfId="1" applyNumberFormat="1" applyFont="1" applyFill="1" applyBorder="1" applyAlignment="1">
      <alignment horizontal="right"/>
    </xf>
    <xf numFmtId="171" fontId="10" fillId="0" borderId="0" xfId="0" applyNumberFormat="1" applyFont="1"/>
    <xf numFmtId="168" fontId="7" fillId="8" borderId="98" xfId="1" applyNumberFormat="1" applyFont="1" applyFill="1" applyBorder="1" applyAlignment="1">
      <alignment horizontal="right"/>
    </xf>
    <xf numFmtId="168" fontId="8" fillId="2" borderId="98" xfId="1" applyNumberFormat="1" applyFont="1" applyFill="1" applyBorder="1" applyAlignment="1">
      <alignment horizontal="right"/>
    </xf>
    <xf numFmtId="171" fontId="10" fillId="0" borderId="98" xfId="0" applyNumberFormat="1" applyFont="1" applyBorder="1"/>
    <xf numFmtId="0" fontId="10" fillId="0" borderId="98" xfId="0" applyFont="1" applyBorder="1"/>
    <xf numFmtId="0" fontId="48" fillId="0" borderId="0" xfId="0" applyFont="1"/>
    <xf numFmtId="1" fontId="48" fillId="0" borderId="0" xfId="0" applyNumberFormat="1" applyFont="1"/>
    <xf numFmtId="49" fontId="49" fillId="3" borderId="0" xfId="0" applyNumberFormat="1" applyFont="1" applyFill="1" applyBorder="1" applyAlignment="1">
      <alignment vertical="top" wrapText="1"/>
    </xf>
    <xf numFmtId="0" fontId="50" fillId="3" borderId="0" xfId="0" applyNumberFormat="1" applyFont="1" applyFill="1" applyBorder="1" applyAlignment="1"/>
    <xf numFmtId="49" fontId="7" fillId="2" borderId="75" xfId="0" applyNumberFormat="1" applyFont="1" applyFill="1" applyBorder="1" applyAlignment="1">
      <alignment horizontal="center" vertical="center" wrapText="1"/>
    </xf>
    <xf numFmtId="0" fontId="51" fillId="0" borderId="0" xfId="0" applyFont="1"/>
    <xf numFmtId="49" fontId="7" fillId="3" borderId="75" xfId="0" applyNumberFormat="1" applyFont="1" applyFill="1" applyBorder="1" applyAlignment="1">
      <alignment horizontal="left" vertical="top"/>
    </xf>
    <xf numFmtId="3" fontId="15" fillId="12" borderId="98" xfId="1" applyNumberFormat="1" applyFont="1" applyFill="1" applyBorder="1" applyAlignment="1">
      <alignment horizontal="right"/>
    </xf>
    <xf numFmtId="4" fontId="15" fillId="12" borderId="98" xfId="2" applyNumberFormat="1" applyFont="1" applyFill="1" applyBorder="1" applyAlignment="1">
      <alignment horizontal="right"/>
    </xf>
    <xf numFmtId="4" fontId="7" fillId="8" borderId="31" xfId="0" applyNumberFormat="1" applyFont="1" applyFill="1" applyBorder="1" applyAlignment="1">
      <alignment horizontal="right" vertical="top"/>
    </xf>
    <xf numFmtId="3" fontId="10" fillId="12" borderId="98" xfId="1" applyNumberFormat="1" applyFont="1" applyFill="1" applyBorder="1" applyAlignment="1">
      <alignment horizontal="right"/>
    </xf>
    <xf numFmtId="4" fontId="8" fillId="3" borderId="98" xfId="0" applyNumberFormat="1" applyFont="1" applyFill="1" applyBorder="1" applyAlignment="1">
      <alignment horizontal="right" vertical="top"/>
    </xf>
    <xf numFmtId="3" fontId="8" fillId="3" borderId="98" xfId="0" applyNumberFormat="1" applyFont="1" applyFill="1" applyBorder="1" applyAlignment="1">
      <alignment horizontal="right" vertical="top"/>
    </xf>
    <xf numFmtId="4" fontId="11" fillId="3" borderId="98" xfId="0" applyNumberFormat="1" applyFont="1" applyFill="1" applyBorder="1" applyAlignment="1">
      <alignment horizontal="right" vertical="top"/>
    </xf>
    <xf numFmtId="0" fontId="11" fillId="3" borderId="0" xfId="0" applyNumberFormat="1" applyFont="1" applyFill="1" applyBorder="1" applyAlignment="1">
      <alignment horizontal="left"/>
    </xf>
    <xf numFmtId="0" fontId="8" fillId="2" borderId="0" xfId="0" applyFont="1" applyFill="1" applyAlignment="1">
      <alignment horizontal="center" vertical="center"/>
    </xf>
    <xf numFmtId="49" fontId="7" fillId="2" borderId="31" xfId="0" applyNumberFormat="1" applyFont="1" applyFill="1" applyBorder="1" applyAlignment="1">
      <alignment vertical="center" wrapText="1"/>
    </xf>
    <xf numFmtId="1" fontId="7" fillId="2" borderId="31" xfId="0" applyNumberFormat="1" applyFont="1" applyFill="1" applyBorder="1" applyAlignment="1">
      <alignment horizontal="right" vertical="center" wrapText="1"/>
    </xf>
    <xf numFmtId="49" fontId="7" fillId="2" borderId="31" xfId="0" applyNumberFormat="1" applyFont="1" applyFill="1" applyBorder="1" applyAlignment="1">
      <alignment horizontal="center" vertical="center" wrapText="1"/>
    </xf>
    <xf numFmtId="168" fontId="15" fillId="0" borderId="98" xfId="1" applyNumberFormat="1" applyFont="1" applyBorder="1" applyAlignment="1">
      <alignment horizontal="center" wrapText="1"/>
    </xf>
    <xf numFmtId="1" fontId="15" fillId="0" borderId="98" xfId="1" applyNumberFormat="1" applyFont="1" applyBorder="1" applyAlignment="1">
      <alignment horizontal="right" wrapText="1"/>
    </xf>
    <xf numFmtId="0" fontId="7" fillId="3" borderId="0" xfId="0" applyFont="1" applyFill="1" applyAlignment="1">
      <alignment horizontal="left" vertical="center"/>
    </xf>
    <xf numFmtId="171" fontId="7" fillId="3" borderId="0" xfId="0" applyNumberFormat="1" applyFont="1" applyFill="1" applyAlignment="1">
      <alignment horizontal="left" vertical="center"/>
    </xf>
    <xf numFmtId="168" fontId="15" fillId="8" borderId="31" xfId="1" applyNumberFormat="1" applyFont="1" applyFill="1" applyBorder="1" applyAlignment="1">
      <alignment horizontal="center" wrapText="1"/>
    </xf>
    <xf numFmtId="168" fontId="15" fillId="8" borderId="31" xfId="1" applyNumberFormat="1" applyFont="1" applyFill="1" applyBorder="1" applyAlignment="1">
      <alignment horizontal="right" wrapText="1"/>
    </xf>
    <xf numFmtId="168" fontId="10" fillId="0" borderId="98" xfId="1" applyNumberFormat="1" applyFont="1" applyBorder="1" applyAlignment="1">
      <alignment horizontal="center" wrapText="1"/>
    </xf>
    <xf numFmtId="168" fontId="10" fillId="0" borderId="98" xfId="1" applyNumberFormat="1" applyFont="1" applyFill="1" applyBorder="1" applyAlignment="1">
      <alignment horizontal="center" wrapText="1"/>
    </xf>
    <xf numFmtId="168" fontId="10" fillId="0" borderId="98" xfId="1" applyNumberFormat="1" applyFont="1" applyBorder="1" applyAlignment="1">
      <alignment horizontal="right" wrapText="1"/>
    </xf>
    <xf numFmtId="1" fontId="10" fillId="0" borderId="98" xfId="1" applyNumberFormat="1" applyFont="1" applyBorder="1" applyAlignment="1">
      <alignment horizontal="right" wrapText="1"/>
    </xf>
    <xf numFmtId="168" fontId="8" fillId="2" borderId="98" xfId="1" applyNumberFormat="1" applyFont="1" applyFill="1" applyBorder="1" applyAlignment="1">
      <alignment horizontal="center"/>
    </xf>
    <xf numFmtId="171" fontId="7" fillId="2" borderId="0" xfId="0" applyNumberFormat="1" applyFont="1" applyFill="1" applyAlignment="1">
      <alignment horizontal="left" vertical="center"/>
    </xf>
    <xf numFmtId="0" fontId="8" fillId="2" borderId="0" xfId="0" applyFont="1" applyFill="1" applyAlignment="1">
      <alignment horizontal="left" vertical="center"/>
    </xf>
    <xf numFmtId="0" fontId="0" fillId="0" borderId="98" xfId="0" applyBorder="1"/>
    <xf numFmtId="0" fontId="8" fillId="2" borderId="98" xfId="0" applyFont="1" applyFill="1" applyBorder="1" applyAlignment="1">
      <alignment horizontal="left" vertical="center"/>
    </xf>
    <xf numFmtId="0" fontId="11" fillId="0" borderId="0" xfId="0" applyNumberFormat="1" applyFont="1" applyFill="1" applyBorder="1" applyAlignment="1">
      <alignment horizontal="left"/>
    </xf>
    <xf numFmtId="0" fontId="11" fillId="0" borderId="98" xfId="0" applyNumberFormat="1" applyFont="1" applyFill="1" applyBorder="1" applyAlignment="1">
      <alignment horizontal="left"/>
    </xf>
    <xf numFmtId="0" fontId="10" fillId="3" borderId="0" xfId="0" applyFont="1" applyFill="1" applyBorder="1"/>
    <xf numFmtId="17" fontId="12" fillId="0" borderId="98" xfId="0" applyNumberFormat="1" applyFont="1" applyFill="1" applyBorder="1" applyAlignment="1">
      <alignment horizontal="center" vertical="center" wrapText="1"/>
    </xf>
    <xf numFmtId="17" fontId="7" fillId="2" borderId="98" xfId="8" applyNumberFormat="1" applyFont="1" applyFill="1" applyBorder="1" applyAlignment="1">
      <alignment horizontal="center" vertical="center" wrapText="1"/>
    </xf>
    <xf numFmtId="0" fontId="11" fillId="0" borderId="98" xfId="0" applyFont="1" applyFill="1" applyBorder="1" applyAlignment="1">
      <alignment wrapText="1"/>
    </xf>
    <xf numFmtId="3" fontId="11" fillId="0" borderId="98" xfId="1" applyNumberFormat="1" applyFont="1" applyFill="1" applyBorder="1" applyAlignment="1">
      <alignment horizontal="right"/>
    </xf>
    <xf numFmtId="3" fontId="11" fillId="0" borderId="98" xfId="1" applyNumberFormat="1" applyFont="1" applyFill="1" applyBorder="1" applyAlignment="1">
      <alignment wrapText="1"/>
    </xf>
    <xf numFmtId="3" fontId="10" fillId="0" borderId="98" xfId="0" applyNumberFormat="1" applyFont="1" applyBorder="1" applyAlignment="1">
      <alignment horizontal="right"/>
    </xf>
    <xf numFmtId="3" fontId="11" fillId="0" borderId="98" xfId="1" applyNumberFormat="1" applyFont="1" applyFill="1" applyBorder="1"/>
    <xf numFmtId="3" fontId="10" fillId="0" borderId="98" xfId="1" applyNumberFormat="1" applyFont="1" applyBorder="1"/>
    <xf numFmtId="3" fontId="10" fillId="0" borderId="98" xfId="0" applyNumberFormat="1" applyFont="1" applyBorder="1"/>
    <xf numFmtId="3" fontId="10" fillId="0" borderId="98" xfId="1" applyNumberFormat="1" applyFont="1" applyFill="1" applyBorder="1" applyAlignment="1"/>
    <xf numFmtId="0" fontId="12" fillId="0" borderId="98" xfId="0" applyFont="1" applyFill="1" applyBorder="1" applyAlignment="1">
      <alignment wrapText="1"/>
    </xf>
    <xf numFmtId="3" fontId="15" fillId="0" borderId="98" xfId="1" applyNumberFormat="1" applyFont="1" applyBorder="1"/>
    <xf numFmtId="0" fontId="11" fillId="0" borderId="0" xfId="0" applyNumberFormat="1" applyFont="1" applyFill="1" applyBorder="1" applyAlignment="1">
      <alignment wrapText="1"/>
    </xf>
    <xf numFmtId="0" fontId="10" fillId="0" borderId="0" xfId="0" applyNumberFormat="1" applyFont="1" applyFill="1" applyBorder="1" applyAlignment="1"/>
    <xf numFmtId="49" fontId="7" fillId="2" borderId="98" xfId="0" applyNumberFormat="1" applyFont="1" applyFill="1" applyBorder="1" applyAlignment="1">
      <alignment horizontal="left" vertical="center" wrapText="1"/>
    </xf>
    <xf numFmtId="49" fontId="7" fillId="2" borderId="98" xfId="0" applyNumberFormat="1" applyFont="1" applyFill="1" applyBorder="1" applyAlignment="1">
      <alignment horizontal="left"/>
    </xf>
    <xf numFmtId="168" fontId="7" fillId="2" borderId="98" xfId="1" applyNumberFormat="1" applyFont="1" applyFill="1" applyBorder="1" applyAlignment="1">
      <alignment horizontal="left"/>
    </xf>
    <xf numFmtId="0" fontId="7" fillId="2" borderId="0" xfId="0" applyFont="1" applyFill="1" applyAlignment="1">
      <alignment horizontal="left" vertical="center"/>
    </xf>
    <xf numFmtId="168" fontId="12" fillId="8" borderId="98" xfId="1" applyNumberFormat="1" applyFont="1" applyFill="1" applyBorder="1" applyAlignment="1">
      <alignment horizontal="left"/>
    </xf>
    <xf numFmtId="168" fontId="12" fillId="8" borderId="98" xfId="1" applyNumberFormat="1" applyFont="1" applyFill="1" applyBorder="1" applyAlignment="1">
      <alignment horizontal="center" vertical="center"/>
    </xf>
    <xf numFmtId="168" fontId="11" fillId="0" borderId="98" xfId="1" applyNumberFormat="1" applyFont="1" applyFill="1" applyBorder="1" applyAlignment="1">
      <alignment horizontal="left"/>
    </xf>
    <xf numFmtId="168" fontId="8" fillId="2" borderId="98" xfId="1" applyNumberFormat="1" applyFont="1" applyFill="1" applyBorder="1" applyAlignment="1">
      <alignment horizontal="left"/>
    </xf>
    <xf numFmtId="43" fontId="11" fillId="0" borderId="0" xfId="7" applyFont="1" applyFill="1" applyBorder="1" applyAlignment="1">
      <alignment horizontal="center" vertical="center"/>
    </xf>
    <xf numFmtId="43" fontId="12" fillId="0" borderId="0" xfId="7" applyFont="1" applyBorder="1" applyAlignment="1">
      <alignment horizontal="center" vertical="center"/>
    </xf>
    <xf numFmtId="0" fontId="12" fillId="0" borderId="0" xfId="8" applyFont="1" applyFill="1" applyAlignment="1">
      <alignment vertical="center"/>
    </xf>
    <xf numFmtId="168" fontId="12" fillId="0" borderId="0" xfId="1" applyNumberFormat="1" applyFont="1" applyFill="1" applyAlignment="1">
      <alignment vertical="center"/>
    </xf>
    <xf numFmtId="168" fontId="12" fillId="0" borderId="98" xfId="1" applyNumberFormat="1" applyFont="1" applyFill="1" applyBorder="1" applyAlignment="1">
      <alignment vertical="top" wrapText="1"/>
    </xf>
    <xf numFmtId="0" fontId="12" fillId="0" borderId="0" xfId="8" applyFont="1" applyFill="1" applyAlignment="1">
      <alignment vertical="top"/>
    </xf>
    <xf numFmtId="0" fontId="12" fillId="0" borderId="98" xfId="31" applyFont="1" applyFill="1" applyBorder="1" applyAlignment="1">
      <alignment vertical="center"/>
    </xf>
    <xf numFmtId="0" fontId="12" fillId="0" borderId="98" xfId="31" applyFont="1" applyFill="1" applyBorder="1" applyAlignment="1">
      <alignment vertical="center" wrapText="1"/>
    </xf>
    <xf numFmtId="168" fontId="12" fillId="0" borderId="98" xfId="1" applyNumberFormat="1" applyFont="1" applyFill="1" applyBorder="1" applyAlignment="1">
      <alignment vertical="center"/>
    </xf>
    <xf numFmtId="168" fontId="11" fillId="0" borderId="98" xfId="1" applyNumberFormat="1" applyFont="1" applyFill="1" applyBorder="1" applyAlignment="1">
      <alignment vertical="center"/>
    </xf>
    <xf numFmtId="0" fontId="11" fillId="0" borderId="0" xfId="8" applyFont="1" applyFill="1" applyAlignment="1">
      <alignment vertical="center"/>
    </xf>
    <xf numFmtId="0" fontId="11" fillId="0" borderId="98" xfId="31" applyFont="1" applyFill="1" applyBorder="1" applyAlignment="1">
      <alignment vertical="center"/>
    </xf>
    <xf numFmtId="0" fontId="11" fillId="0" borderId="98" xfId="31" applyFont="1" applyFill="1" applyBorder="1" applyAlignment="1">
      <alignment vertical="center" wrapText="1"/>
    </xf>
    <xf numFmtId="168" fontId="10" fillId="0" borderId="98" xfId="1" applyNumberFormat="1" applyFont="1" applyFill="1" applyBorder="1" applyAlignment="1">
      <alignment vertical="center"/>
    </xf>
    <xf numFmtId="0" fontId="10" fillId="0" borderId="98" xfId="1" applyNumberFormat="1" applyFont="1" applyFill="1" applyBorder="1" applyAlignment="1">
      <alignment vertical="center"/>
    </xf>
    <xf numFmtId="2" fontId="10" fillId="0" borderId="98" xfId="1" applyNumberFormat="1" applyFont="1" applyFill="1" applyBorder="1" applyAlignment="1">
      <alignment vertical="center"/>
    </xf>
    <xf numFmtId="1" fontId="11" fillId="0" borderId="98" xfId="31" applyNumberFormat="1" applyFont="1" applyFill="1" applyBorder="1" applyAlignment="1">
      <alignment vertical="center" wrapText="1"/>
    </xf>
    <xf numFmtId="1" fontId="10" fillId="0" borderId="98" xfId="1" applyNumberFormat="1" applyFont="1" applyFill="1" applyBorder="1" applyAlignment="1">
      <alignment vertical="center"/>
    </xf>
    <xf numFmtId="1" fontId="12" fillId="0" borderId="98" xfId="1" applyNumberFormat="1" applyFont="1" applyFill="1" applyBorder="1" applyAlignment="1">
      <alignment vertical="center"/>
    </xf>
    <xf numFmtId="0" fontId="12" fillId="0" borderId="98" xfId="1" applyNumberFormat="1" applyFont="1" applyFill="1" applyBorder="1" applyAlignment="1">
      <alignment vertical="center"/>
    </xf>
    <xf numFmtId="2" fontId="12" fillId="0" borderId="98" xfId="1" applyNumberFormat="1" applyFont="1" applyFill="1" applyBorder="1" applyAlignment="1">
      <alignment vertical="center"/>
    </xf>
    <xf numFmtId="0" fontId="12" fillId="0" borderId="84" xfId="31" applyFont="1" applyFill="1" applyBorder="1" applyAlignment="1">
      <alignment vertical="center" wrapText="1"/>
    </xf>
    <xf numFmtId="0" fontId="11" fillId="0" borderId="98" xfId="1" applyNumberFormat="1" applyFont="1" applyFill="1" applyBorder="1" applyAlignment="1">
      <alignment vertical="center"/>
    </xf>
    <xf numFmtId="2" fontId="11" fillId="0" borderId="98" xfId="1" applyNumberFormat="1" applyFont="1" applyFill="1" applyBorder="1" applyAlignment="1">
      <alignment vertical="center"/>
    </xf>
    <xf numFmtId="0" fontId="21" fillId="0" borderId="0" xfId="31" applyFont="1" applyFill="1" applyBorder="1" applyAlignment="1">
      <alignment vertical="center"/>
    </xf>
    <xf numFmtId="3" fontId="21" fillId="0" borderId="0" xfId="8" applyNumberFormat="1" applyFont="1" applyFill="1" applyBorder="1" applyAlignment="1">
      <alignment vertical="center"/>
    </xf>
    <xf numFmtId="3" fontId="11" fillId="0" borderId="0" xfId="8" applyNumberFormat="1" applyFont="1" applyFill="1" applyBorder="1" applyAlignment="1">
      <alignment vertical="center"/>
    </xf>
    <xf numFmtId="168" fontId="11" fillId="0" borderId="0" xfId="1" applyNumberFormat="1" applyFont="1" applyFill="1" applyAlignment="1">
      <alignment vertical="center"/>
    </xf>
    <xf numFmtId="0" fontId="21" fillId="0" borderId="0" xfId="8" applyFont="1" applyFill="1" applyAlignment="1">
      <alignment vertical="center"/>
    </xf>
    <xf numFmtId="3" fontId="11" fillId="0" borderId="0" xfId="8" applyNumberFormat="1" applyFont="1" applyFill="1" applyAlignment="1">
      <alignment vertical="center"/>
    </xf>
    <xf numFmtId="0" fontId="10" fillId="0" borderId="0" xfId="0" applyFont="1" applyFill="1" applyAlignment="1">
      <alignment vertical="center"/>
    </xf>
    <xf numFmtId="49" fontId="15" fillId="0" borderId="98" xfId="0" applyNumberFormat="1" applyFont="1" applyFill="1" applyBorder="1" applyAlignment="1">
      <alignment horizontal="center" vertical="center" wrapText="1"/>
    </xf>
    <xf numFmtId="168" fontId="15" fillId="0" borderId="98" xfId="1" applyNumberFormat="1" applyFont="1" applyFill="1" applyBorder="1" applyAlignment="1">
      <alignment vertical="top"/>
    </xf>
    <xf numFmtId="0" fontId="15" fillId="0" borderId="0" xfId="0" applyFont="1" applyFill="1" applyAlignment="1">
      <alignment vertical="center"/>
    </xf>
    <xf numFmtId="168" fontId="15" fillId="8" borderId="31" xfId="1" applyNumberFormat="1" applyFont="1" applyFill="1" applyBorder="1" applyAlignment="1">
      <alignment vertical="top"/>
    </xf>
    <xf numFmtId="0" fontId="15" fillId="0" borderId="0" xfId="0" applyNumberFormat="1" applyFont="1" applyFill="1" applyBorder="1" applyAlignment="1"/>
    <xf numFmtId="168" fontId="11" fillId="0" borderId="31" xfId="1" applyNumberFormat="1" applyFont="1" applyFill="1" applyBorder="1" applyAlignment="1">
      <alignment horizontal="left" vertical="top" wrapText="1" indent="2"/>
    </xf>
    <xf numFmtId="168" fontId="10" fillId="0" borderId="31" xfId="1" applyNumberFormat="1" applyFont="1" applyFill="1" applyBorder="1" applyAlignment="1">
      <alignment vertical="top"/>
    </xf>
    <xf numFmtId="168" fontId="10" fillId="0" borderId="31" xfId="1" applyNumberFormat="1" applyFont="1" applyFill="1" applyBorder="1" applyAlignment="1">
      <alignment horizontal="left" vertical="top" indent="2"/>
    </xf>
    <xf numFmtId="168" fontId="11" fillId="0" borderId="31" xfId="1" applyNumberFormat="1" applyFont="1" applyFill="1" applyBorder="1" applyAlignment="1">
      <alignment vertical="top" wrapText="1"/>
    </xf>
    <xf numFmtId="49" fontId="7" fillId="0" borderId="102" xfId="0" applyNumberFormat="1" applyFont="1" applyFill="1" applyBorder="1" applyAlignment="1">
      <alignment horizontal="left"/>
    </xf>
    <xf numFmtId="49" fontId="7" fillId="0" borderId="106" xfId="0" applyNumberFormat="1" applyFont="1" applyFill="1" applyBorder="1" applyAlignment="1">
      <alignment horizontal="left" vertical="center"/>
    </xf>
    <xf numFmtId="49" fontId="7" fillId="0" borderId="75" xfId="0" applyNumberFormat="1" applyFont="1" applyFill="1" applyBorder="1" applyAlignment="1">
      <alignment horizontal="center" vertical="center" wrapText="1"/>
    </xf>
    <xf numFmtId="49" fontId="7" fillId="0" borderId="107" xfId="0" applyNumberFormat="1" applyFont="1" applyFill="1" applyBorder="1" applyAlignment="1">
      <alignment horizontal="center" vertical="center" wrapText="1"/>
    </xf>
    <xf numFmtId="49" fontId="8" fillId="0" borderId="106" xfId="0" applyNumberFormat="1" applyFont="1" applyFill="1" applyBorder="1" applyAlignment="1">
      <alignment horizontal="left"/>
    </xf>
    <xf numFmtId="194" fontId="11" fillId="0" borderId="31" xfId="32" applyNumberFormat="1" applyFont="1" applyFill="1" applyBorder="1" applyAlignment="1">
      <alignment horizontal="right"/>
    </xf>
    <xf numFmtId="168" fontId="10" fillId="0" borderId="108" xfId="0" applyNumberFormat="1" applyFont="1" applyBorder="1"/>
    <xf numFmtId="171" fontId="7" fillId="0" borderId="75" xfId="0" applyNumberFormat="1" applyFont="1" applyFill="1" applyBorder="1" applyAlignment="1">
      <alignment horizontal="right"/>
    </xf>
    <xf numFmtId="171" fontId="12" fillId="0" borderId="75" xfId="0" applyNumberFormat="1" applyFont="1" applyFill="1" applyBorder="1" applyAlignment="1">
      <alignment horizontal="right"/>
    </xf>
    <xf numFmtId="194" fontId="9" fillId="0" borderId="31" xfId="32" applyNumberFormat="1" applyFont="1" applyFill="1" applyBorder="1"/>
    <xf numFmtId="194" fontId="13" fillId="0" borderId="31" xfId="1" applyNumberFormat="1" applyFont="1" applyFill="1" applyBorder="1"/>
    <xf numFmtId="200" fontId="12" fillId="0" borderId="75" xfId="0" applyNumberFormat="1" applyFont="1" applyFill="1" applyBorder="1" applyAlignment="1">
      <alignment horizontal="right"/>
    </xf>
    <xf numFmtId="49" fontId="8" fillId="0" borderId="109" xfId="0" applyNumberFormat="1" applyFont="1" applyFill="1" applyBorder="1" applyAlignment="1">
      <alignment horizontal="left"/>
    </xf>
    <xf numFmtId="49" fontId="7" fillId="0" borderId="110" xfId="0" applyNumberFormat="1" applyFont="1" applyFill="1" applyBorder="1" applyAlignment="1">
      <alignment horizontal="left"/>
    </xf>
    <xf numFmtId="194" fontId="13" fillId="0" borderId="31" xfId="32" applyNumberFormat="1" applyFont="1" applyFill="1" applyBorder="1"/>
    <xf numFmtId="194" fontId="10" fillId="0" borderId="0" xfId="0" applyNumberFormat="1" applyFont="1"/>
    <xf numFmtId="0" fontId="9" fillId="0" borderId="0" xfId="0" applyFont="1" applyFill="1" applyAlignment="1">
      <alignment horizontal="left" wrapText="1"/>
    </xf>
    <xf numFmtId="2" fontId="9" fillId="0" borderId="0" xfId="0" applyNumberFormat="1" applyFont="1" applyFill="1" applyAlignment="1">
      <alignment horizontal="right" wrapText="1"/>
    </xf>
    <xf numFmtId="2" fontId="9" fillId="0" borderId="0" xfId="0" applyNumberFormat="1" applyFont="1" applyFill="1" applyAlignment="1">
      <alignment horizontal="right"/>
    </xf>
    <xf numFmtId="0" fontId="9" fillId="0" borderId="0" xfId="0" applyFont="1" applyFill="1" applyAlignment="1">
      <alignment horizontal="center" wrapText="1"/>
    </xf>
    <xf numFmtId="0" fontId="11" fillId="0" borderId="0" xfId="0" applyFont="1" applyFill="1"/>
    <xf numFmtId="0" fontId="9" fillId="0" borderId="0" xfId="0" applyFont="1" applyFill="1"/>
    <xf numFmtId="0" fontId="11" fillId="0" borderId="0" xfId="0" applyFont="1" applyFill="1" applyBorder="1" applyAlignment="1">
      <alignment wrapText="1"/>
    </xf>
    <xf numFmtId="0" fontId="11" fillId="3" borderId="0" xfId="0" applyFont="1" applyFill="1" applyAlignment="1"/>
    <xf numFmtId="0" fontId="11" fillId="0" borderId="0" xfId="0" applyFont="1" applyFill="1" applyAlignment="1"/>
    <xf numFmtId="4" fontId="11" fillId="0" borderId="0" xfId="0" applyNumberFormat="1" applyFont="1" applyFill="1" applyAlignment="1"/>
    <xf numFmtId="171" fontId="11" fillId="0" borderId="0" xfId="0" applyNumberFormat="1" applyFont="1" applyFill="1" applyBorder="1" applyAlignment="1"/>
    <xf numFmtId="0" fontId="13" fillId="3" borderId="0" xfId="61" applyNumberFormat="1" applyFont="1" applyFill="1" applyAlignment="1">
      <alignment vertical="top"/>
    </xf>
    <xf numFmtId="0" fontId="22" fillId="3" borderId="0" xfId="0" applyFont="1" applyFill="1"/>
    <xf numFmtId="0" fontId="15" fillId="3" borderId="31" xfId="61" applyNumberFormat="1" applyFont="1" applyFill="1" applyBorder="1" applyAlignment="1">
      <alignment horizontal="center" vertical="center"/>
    </xf>
    <xf numFmtId="0" fontId="10" fillId="3" borderId="31" xfId="61" applyNumberFormat="1" applyFont="1" applyFill="1" applyBorder="1"/>
    <xf numFmtId="1" fontId="10" fillId="0" borderId="31" xfId="0" applyNumberFormat="1" applyFont="1" applyFill="1" applyBorder="1" applyAlignment="1">
      <alignment horizontal="right"/>
    </xf>
    <xf numFmtId="0" fontId="10" fillId="0" borderId="31" xfId="0" applyFont="1" applyFill="1" applyBorder="1" applyAlignment="1">
      <alignment horizontal="right"/>
    </xf>
    <xf numFmtId="0" fontId="11" fillId="0" borderId="31" xfId="0" applyFont="1" applyFill="1" applyBorder="1" applyAlignment="1">
      <alignment horizontal="right"/>
    </xf>
    <xf numFmtId="1" fontId="22" fillId="3" borderId="0" xfId="0" applyNumberFormat="1" applyFont="1" applyFill="1"/>
    <xf numFmtId="1" fontId="11" fillId="3" borderId="31" xfId="0" applyNumberFormat="1" applyFont="1" applyFill="1" applyBorder="1" applyAlignment="1">
      <alignment horizontal="right"/>
    </xf>
    <xf numFmtId="37" fontId="11" fillId="3" borderId="31" xfId="0" applyNumberFormat="1" applyFont="1" applyFill="1" applyBorder="1" applyAlignment="1">
      <alignment horizontal="right"/>
    </xf>
    <xf numFmtId="1" fontId="11" fillId="3" borderId="0" xfId="0" applyNumberFormat="1" applyFont="1" applyFill="1" applyAlignment="1">
      <alignment horizontal="right" vertical="center"/>
    </xf>
    <xf numFmtId="1" fontId="21" fillId="3" borderId="0" xfId="61" applyNumberFormat="1" applyFont="1" applyFill="1" applyAlignment="1">
      <alignment horizontal="right" vertical="center"/>
    </xf>
    <xf numFmtId="192" fontId="22" fillId="3" borderId="0" xfId="61" applyFont="1" applyFill="1" applyAlignment="1">
      <alignment horizontal="left" vertical="top"/>
    </xf>
    <xf numFmtId="0" fontId="31" fillId="3" borderId="0" xfId="0" applyFont="1" applyFill="1"/>
    <xf numFmtId="0" fontId="10" fillId="0" borderId="0" xfId="0" applyFont="1" applyAlignment="1">
      <alignment vertical="top"/>
    </xf>
    <xf numFmtId="174" fontId="12" fillId="14" borderId="31" xfId="53" applyNumberFormat="1" applyFont="1" applyFill="1" applyBorder="1" applyAlignment="1">
      <alignment horizontal="center" vertical="top"/>
    </xf>
    <xf numFmtId="174" fontId="12" fillId="14" borderId="31" xfId="54" applyNumberFormat="1" applyFont="1" applyFill="1" applyBorder="1" applyAlignment="1">
      <alignment horizontal="center" vertical="top"/>
    </xf>
    <xf numFmtId="169" fontId="12" fillId="0" borderId="31" xfId="52" applyNumberFormat="1" applyFont="1" applyBorder="1" applyAlignment="1">
      <alignment horizontal="left" vertical="top" wrapText="1"/>
    </xf>
    <xf numFmtId="3" fontId="12" fillId="0" borderId="31" xfId="66" applyNumberFormat="1" applyFont="1" applyBorder="1" applyAlignment="1">
      <alignment horizontal="right" vertical="top" wrapText="1"/>
    </xf>
    <xf numFmtId="0" fontId="15" fillId="0" borderId="0" xfId="0" applyFont="1" applyAlignment="1">
      <alignment vertical="top"/>
    </xf>
    <xf numFmtId="3" fontId="12" fillId="8" borderId="31" xfId="66" applyNumberFormat="1" applyFont="1" applyFill="1" applyBorder="1" applyAlignment="1">
      <alignment horizontal="right" vertical="top" wrapText="1"/>
    </xf>
    <xf numFmtId="3" fontId="11" fillId="0" borderId="31" xfId="66" applyNumberFormat="1" applyFont="1" applyBorder="1" applyAlignment="1">
      <alignment horizontal="right" vertical="top" wrapText="1"/>
    </xf>
    <xf numFmtId="3" fontId="11" fillId="3" borderId="31" xfId="66" applyNumberFormat="1" applyFont="1" applyFill="1" applyBorder="1" applyAlignment="1">
      <alignment horizontal="right" vertical="top" wrapText="1"/>
    </xf>
    <xf numFmtId="3" fontId="10" fillId="0" borderId="31" xfId="0" applyNumberFormat="1" applyFont="1" applyBorder="1" applyAlignment="1">
      <alignment vertical="top"/>
    </xf>
    <xf numFmtId="0" fontId="10" fillId="0" borderId="31" xfId="0" applyFont="1" applyBorder="1" applyAlignment="1">
      <alignment vertical="top"/>
    </xf>
    <xf numFmtId="14" fontId="10" fillId="0" borderId="0" xfId="0" applyNumberFormat="1" applyFont="1" applyAlignment="1">
      <alignment vertical="top"/>
    </xf>
    <xf numFmtId="0" fontId="13" fillId="3" borderId="0" xfId="55" applyNumberFormat="1" applyFont="1" applyFill="1" applyBorder="1" applyAlignment="1">
      <alignment horizontal="left" wrapText="1"/>
    </xf>
    <xf numFmtId="0" fontId="13" fillId="3" borderId="0" xfId="55" applyNumberFormat="1" applyFont="1" applyFill="1" applyBorder="1" applyAlignment="1">
      <alignment horizontal="center" vertical="center"/>
    </xf>
    <xf numFmtId="0" fontId="10" fillId="0" borderId="0" xfId="0" applyFont="1" applyAlignment="1">
      <alignment horizontal="center"/>
    </xf>
    <xf numFmtId="0" fontId="15" fillId="7" borderId="31" xfId="55" applyNumberFormat="1" applyFont="1" applyFill="1" applyBorder="1" applyAlignment="1">
      <alignment horizontal="center" vertical="center" wrapText="1"/>
    </xf>
    <xf numFmtId="0" fontId="15" fillId="7" borderId="111" xfId="55" applyNumberFormat="1" applyFont="1" applyFill="1" applyBorder="1" applyAlignment="1">
      <alignment horizontal="center" vertical="center" wrapText="1"/>
    </xf>
    <xf numFmtId="49" fontId="12" fillId="0" borderId="31" xfId="55" applyNumberFormat="1" applyFont="1" applyBorder="1" applyAlignment="1">
      <alignment horizontal="left" vertical="top" wrapText="1"/>
    </xf>
    <xf numFmtId="3" fontId="12" fillId="0" borderId="31" xfId="23" applyNumberFormat="1" applyFont="1" applyBorder="1" applyAlignment="1">
      <alignment horizontal="right" vertical="top"/>
    </xf>
    <xf numFmtId="0" fontId="15" fillId="0" borderId="0" xfId="0" applyFont="1"/>
    <xf numFmtId="0" fontId="12" fillId="8" borderId="31" xfId="55" applyNumberFormat="1" applyFont="1" applyFill="1" applyBorder="1" applyAlignment="1">
      <alignment horizontal="left" vertical="top" wrapText="1"/>
    </xf>
    <xf numFmtId="3" fontId="12" fillId="8" borderId="31" xfId="23" applyNumberFormat="1" applyFont="1" applyFill="1" applyBorder="1" applyAlignment="1">
      <alignment horizontal="right" vertical="top"/>
    </xf>
    <xf numFmtId="17" fontId="11" fillId="0" borderId="31" xfId="55" applyNumberFormat="1" applyFont="1" applyBorder="1" applyAlignment="1">
      <alignment horizontal="left" vertical="top" wrapText="1"/>
    </xf>
    <xf numFmtId="3" fontId="11" fillId="0" borderId="31" xfId="23" applyNumberFormat="1" applyFont="1" applyBorder="1" applyAlignment="1">
      <alignment horizontal="right" vertical="top"/>
    </xf>
    <xf numFmtId="169" fontId="11" fillId="0" borderId="0" xfId="0" applyNumberFormat="1" applyFont="1" applyAlignment="1">
      <alignment horizontal="left"/>
    </xf>
    <xf numFmtId="201" fontId="12" fillId="0" borderId="0" xfId="23" applyNumberFormat="1" applyFont="1" applyAlignment="1">
      <alignment horizontal="right" vertical="top"/>
    </xf>
    <xf numFmtId="202" fontId="12" fillId="0" borderId="0" xfId="23" applyNumberFormat="1" applyFont="1" applyAlignment="1">
      <alignment horizontal="right" vertical="top"/>
    </xf>
    <xf numFmtId="181" fontId="12" fillId="0" borderId="0" xfId="2" applyNumberFormat="1" applyFont="1" applyFill="1" applyBorder="1" applyAlignment="1">
      <alignment horizontal="right" vertical="top"/>
    </xf>
    <xf numFmtId="0" fontId="15" fillId="0" borderId="0" xfId="0" applyFont="1" applyAlignment="1">
      <alignment horizontal="center"/>
    </xf>
    <xf numFmtId="49" fontId="7" fillId="0" borderId="112" xfId="0" applyNumberFormat="1" applyFont="1" applyBorder="1" applyAlignment="1">
      <alignment horizontal="left"/>
    </xf>
    <xf numFmtId="49" fontId="7" fillId="0" borderId="113" xfId="0" applyNumberFormat="1" applyFont="1" applyBorder="1" applyAlignment="1">
      <alignment horizontal="left"/>
    </xf>
    <xf numFmtId="168" fontId="11" fillId="0" borderId="31" xfId="23" applyNumberFormat="1" applyFont="1" applyBorder="1" applyAlignment="1">
      <alignment horizontal="right" vertical="top"/>
    </xf>
    <xf numFmtId="43" fontId="11" fillId="0" borderId="31" xfId="23" applyNumberFormat="1" applyFont="1" applyBorder="1" applyAlignment="1">
      <alignment horizontal="right" vertical="top"/>
    </xf>
    <xf numFmtId="201" fontId="10" fillId="0" borderId="0" xfId="0" applyNumberFormat="1" applyFont="1"/>
    <xf numFmtId="0" fontId="53" fillId="0" borderId="0" xfId="0" applyFont="1"/>
    <xf numFmtId="0" fontId="22" fillId="0" borderId="0" xfId="0" applyFont="1"/>
    <xf numFmtId="0" fontId="15" fillId="7" borderId="31" xfId="51" applyNumberFormat="1" applyFont="1" applyFill="1" applyBorder="1" applyAlignment="1">
      <alignment horizontal="center" vertical="center" wrapText="1"/>
    </xf>
    <xf numFmtId="0" fontId="15" fillId="7" borderId="111" xfId="51" applyNumberFormat="1" applyFont="1" applyFill="1" applyBorder="1" applyAlignment="1">
      <alignment horizontal="center" vertical="center" wrapText="1"/>
    </xf>
    <xf numFmtId="0" fontId="12" fillId="7" borderId="111" xfId="24" applyFont="1" applyFill="1" applyBorder="1" applyAlignment="1">
      <alignment horizontal="center" vertical="center" wrapText="1"/>
    </xf>
    <xf numFmtId="0" fontId="22" fillId="0" borderId="0" xfId="0" applyFont="1" applyAlignment="1">
      <alignment horizontal="center"/>
    </xf>
    <xf numFmtId="3" fontId="12" fillId="0" borderId="31" xfId="1" applyNumberFormat="1" applyFont="1" applyFill="1" applyBorder="1" applyAlignment="1">
      <alignment horizontal="right" vertical="top"/>
    </xf>
    <xf numFmtId="0" fontId="31" fillId="0" borderId="0" xfId="0" applyFont="1"/>
    <xf numFmtId="3" fontId="12" fillId="8" borderId="31" xfId="1" applyNumberFormat="1" applyFont="1" applyFill="1" applyBorder="1" applyAlignment="1">
      <alignment horizontal="right" vertical="top"/>
    </xf>
    <xf numFmtId="3" fontId="11" fillId="0" borderId="31" xfId="1" applyNumberFormat="1" applyFont="1" applyFill="1" applyBorder="1" applyAlignment="1">
      <alignment horizontal="right" vertical="top"/>
    </xf>
    <xf numFmtId="3" fontId="11" fillId="0" borderId="31" xfId="29" applyNumberFormat="1" applyFont="1" applyFill="1" applyBorder="1" applyAlignment="1">
      <alignment horizontal="right" vertical="top"/>
    </xf>
    <xf numFmtId="0" fontId="13" fillId="3" borderId="0" xfId="56" applyNumberFormat="1" applyFont="1" applyFill="1" applyAlignment="1">
      <alignment horizontal="left" vertical="center"/>
    </xf>
    <xf numFmtId="0" fontId="15" fillId="7" borderId="31" xfId="56" applyNumberFormat="1" applyFont="1" applyFill="1" applyBorder="1" applyAlignment="1">
      <alignment horizontal="center" vertical="center" wrapText="1"/>
    </xf>
    <xf numFmtId="0" fontId="15" fillId="7" borderId="111" xfId="56" applyNumberFormat="1" applyFont="1" applyFill="1" applyBorder="1" applyAlignment="1">
      <alignment horizontal="center" vertical="center" wrapText="1"/>
    </xf>
    <xf numFmtId="49" fontId="12" fillId="0" borderId="31" xfId="56" applyNumberFormat="1" applyFont="1" applyBorder="1" applyAlignment="1">
      <alignment horizontal="left" vertical="top"/>
    </xf>
    <xf numFmtId="4" fontId="12" fillId="0" borderId="31" xfId="23" applyNumberFormat="1" applyFont="1" applyBorder="1" applyAlignment="1">
      <alignment horizontal="right" vertical="top"/>
    </xf>
    <xf numFmtId="0" fontId="12" fillId="8" borderId="31" xfId="56" applyNumberFormat="1" applyFont="1" applyFill="1" applyBorder="1" applyAlignment="1">
      <alignment horizontal="left" vertical="top"/>
    </xf>
    <xf numFmtId="4" fontId="12" fillId="8" borderId="31" xfId="23" applyNumberFormat="1" applyFont="1" applyFill="1" applyBorder="1" applyAlignment="1">
      <alignment horizontal="right" vertical="top"/>
    </xf>
    <xf numFmtId="4" fontId="11" fillId="0" borderId="31" xfId="23" applyNumberFormat="1" applyFont="1" applyBorder="1" applyAlignment="1">
      <alignment horizontal="right" vertical="top"/>
    </xf>
    <xf numFmtId="2" fontId="11" fillId="0" borderId="31" xfId="43" applyNumberFormat="1" applyFont="1" applyBorder="1" applyAlignment="1">
      <alignment horizontal="right" vertical="top"/>
    </xf>
    <xf numFmtId="3" fontId="11" fillId="0" borderId="31" xfId="23" applyNumberFormat="1" applyFont="1" applyFill="1" applyBorder="1" applyAlignment="1">
      <alignment horizontal="right" vertical="top"/>
    </xf>
    <xf numFmtId="2" fontId="11" fillId="0" borderId="31" xfId="23" applyNumberFormat="1" applyFont="1" applyBorder="1" applyAlignment="1">
      <alignment horizontal="right" vertical="top"/>
    </xf>
    <xf numFmtId="17" fontId="11" fillId="0" borderId="0" xfId="56" applyNumberFormat="1" applyFont="1" applyAlignment="1">
      <alignment horizontal="left" vertical="top"/>
    </xf>
    <xf numFmtId="3" fontId="11" fillId="0" borderId="0" xfId="23" applyNumberFormat="1" applyFont="1" applyAlignment="1">
      <alignment horizontal="right" vertical="top"/>
    </xf>
    <xf numFmtId="203" fontId="10" fillId="0" borderId="0" xfId="0" applyNumberFormat="1" applyFont="1"/>
    <xf numFmtId="49" fontId="12" fillId="0" borderId="31" xfId="56" applyNumberFormat="1" applyFont="1" applyBorder="1" applyAlignment="1">
      <alignment horizontal="left" vertical="top" wrapText="1"/>
    </xf>
    <xf numFmtId="3" fontId="15" fillId="0" borderId="23" xfId="0" applyNumberFormat="1" applyFont="1" applyBorder="1"/>
    <xf numFmtId="4" fontId="15" fillId="0" borderId="23" xfId="0" applyNumberFormat="1" applyFont="1" applyBorder="1"/>
    <xf numFmtId="3" fontId="15" fillId="0" borderId="23" xfId="0" applyNumberFormat="1" applyFont="1" applyBorder="1" applyAlignment="1">
      <alignment horizontal="right"/>
    </xf>
    <xf numFmtId="4" fontId="15" fillId="0" borderId="23" xfId="0" applyNumberFormat="1" applyFont="1" applyBorder="1" applyAlignment="1">
      <alignment horizontal="right"/>
    </xf>
    <xf numFmtId="0" fontId="12" fillId="8" borderId="31" xfId="56" applyNumberFormat="1" applyFont="1" applyFill="1" applyBorder="1" applyAlignment="1">
      <alignment horizontal="left" vertical="top" wrapText="1"/>
    </xf>
    <xf numFmtId="3" fontId="11" fillId="0" borderId="31" xfId="23" applyNumberFormat="1" applyFont="1" applyBorder="1" applyAlignment="1">
      <alignment vertical="top"/>
    </xf>
    <xf numFmtId="4" fontId="11" fillId="0" borderId="31" xfId="23" applyNumberFormat="1" applyFont="1" applyBorder="1" applyAlignment="1">
      <alignment vertical="top"/>
    </xf>
    <xf numFmtId="4" fontId="10" fillId="0" borderId="31" xfId="1" applyNumberFormat="1" applyFont="1" applyFill="1" applyBorder="1" applyAlignment="1"/>
    <xf numFmtId="3" fontId="10" fillId="0" borderId="31" xfId="43" applyNumberFormat="1" applyFont="1" applyFill="1" applyBorder="1" applyAlignment="1"/>
    <xf numFmtId="4" fontId="10" fillId="0" borderId="31" xfId="7" applyNumberFormat="1" applyFont="1" applyFill="1" applyBorder="1" applyAlignment="1"/>
    <xf numFmtId="3" fontId="10" fillId="0" borderId="31" xfId="29" applyNumberFormat="1" applyFont="1" applyFill="1" applyBorder="1" applyAlignment="1"/>
    <xf numFmtId="43" fontId="10" fillId="0" borderId="31" xfId="7" applyFont="1" applyFill="1" applyBorder="1" applyAlignment="1"/>
    <xf numFmtId="3" fontId="11" fillId="0" borderId="0" xfId="23" applyNumberFormat="1" applyFont="1" applyAlignment="1">
      <alignment vertical="top"/>
    </xf>
    <xf numFmtId="3" fontId="10" fillId="0" borderId="0" xfId="29" applyNumberFormat="1" applyFont="1" applyFill="1" applyBorder="1" applyAlignment="1"/>
    <xf numFmtId="43" fontId="10" fillId="0" borderId="0" xfId="7" applyFont="1" applyFill="1" applyBorder="1" applyAlignment="1"/>
    <xf numFmtId="0" fontId="13" fillId="3" borderId="84" xfId="57" applyNumberFormat="1" applyFont="1" applyFill="1" applyBorder="1" applyAlignment="1">
      <alignment vertical="top"/>
    </xf>
    <xf numFmtId="0" fontId="13" fillId="3" borderId="100" xfId="57" applyNumberFormat="1" applyFont="1" applyFill="1" applyBorder="1" applyAlignment="1">
      <alignment vertical="top"/>
    </xf>
    <xf numFmtId="0" fontId="13" fillId="3" borderId="101" xfId="57" applyNumberFormat="1" applyFont="1" applyFill="1" applyBorder="1" applyAlignment="1">
      <alignment vertical="top"/>
    </xf>
    <xf numFmtId="0" fontId="15" fillId="7" borderId="31" xfId="57" applyNumberFormat="1" applyFont="1" applyFill="1" applyBorder="1" applyAlignment="1">
      <alignment horizontal="center" vertical="center" wrapText="1"/>
    </xf>
    <xf numFmtId="49" fontId="7" fillId="0" borderId="73" xfId="0" applyNumberFormat="1" applyFont="1" applyBorder="1" applyAlignment="1">
      <alignment horizontal="left"/>
    </xf>
    <xf numFmtId="0" fontId="45" fillId="0" borderId="0" xfId="0" applyFont="1"/>
    <xf numFmtId="49" fontId="7" fillId="0" borderId="74" xfId="0" applyNumberFormat="1" applyFont="1" applyBorder="1" applyAlignment="1">
      <alignment horizontal="left"/>
    </xf>
    <xf numFmtId="0" fontId="12" fillId="0" borderId="0" xfId="0" applyFont="1"/>
    <xf numFmtId="201" fontId="11" fillId="0" borderId="31" xfId="23" applyNumberFormat="1" applyFont="1" applyBorder="1" applyAlignment="1">
      <alignment horizontal="right" vertical="top"/>
    </xf>
    <xf numFmtId="164" fontId="11" fillId="0" borderId="31" xfId="23" applyNumberFormat="1" applyFont="1" applyBorder="1" applyAlignment="1">
      <alignment horizontal="right" vertical="top"/>
    </xf>
    <xf numFmtId="0" fontId="11" fillId="0" borderId="0" xfId="0" applyFont="1"/>
    <xf numFmtId="3" fontId="12" fillId="0" borderId="31" xfId="23" applyNumberFormat="1" applyFont="1" applyBorder="1" applyAlignment="1">
      <alignment vertical="top"/>
    </xf>
    <xf numFmtId="201" fontId="11" fillId="0" borderId="31" xfId="23" applyNumberFormat="1" applyFont="1" applyBorder="1" applyAlignment="1">
      <alignment vertical="top"/>
    </xf>
    <xf numFmtId="194" fontId="11" fillId="0" borderId="31" xfId="23" applyNumberFormat="1" applyFont="1" applyBorder="1" applyAlignment="1">
      <alignment vertical="top"/>
    </xf>
    <xf numFmtId="201" fontId="54" fillId="0" borderId="31" xfId="23" applyNumberFormat="1" applyFont="1" applyBorder="1" applyAlignment="1">
      <alignment horizontal="right" vertical="top"/>
    </xf>
    <xf numFmtId="194" fontId="11" fillId="0" borderId="31" xfId="29" applyNumberFormat="1" applyFont="1" applyBorder="1" applyAlignment="1">
      <alignment horizontal="right" vertical="top"/>
    </xf>
    <xf numFmtId="194" fontId="54" fillId="0" borderId="31" xfId="29" applyNumberFormat="1" applyFont="1" applyBorder="1"/>
    <xf numFmtId="192" fontId="15" fillId="0" borderId="114" xfId="58" applyFont="1" applyBorder="1" applyAlignment="1">
      <alignment horizontal="left" vertical="top"/>
    </xf>
    <xf numFmtId="192" fontId="15" fillId="0" borderId="0" xfId="58" applyFont="1" applyBorder="1" applyAlignment="1">
      <alignment horizontal="left" vertical="top"/>
    </xf>
    <xf numFmtId="192" fontId="55" fillId="0" borderId="0" xfId="58" applyFont="1" applyAlignment="1">
      <alignment horizontal="centerContinuous" vertical="top"/>
    </xf>
    <xf numFmtId="192" fontId="13" fillId="0" borderId="31" xfId="58" applyFont="1" applyBorder="1" applyAlignment="1">
      <alignment vertical="center"/>
    </xf>
    <xf numFmtId="192" fontId="15" fillId="0" borderId="31" xfId="58" applyFont="1" applyBorder="1" applyAlignment="1">
      <alignment horizontal="center" vertical="center" wrapText="1"/>
    </xf>
    <xf numFmtId="192" fontId="10" fillId="0" borderId="0" xfId="58" applyFont="1"/>
    <xf numFmtId="168" fontId="13" fillId="0" borderId="31" xfId="26" applyNumberFormat="1" applyFont="1" applyFill="1" applyBorder="1"/>
    <xf numFmtId="1" fontId="9" fillId="0" borderId="31" xfId="26" applyNumberFormat="1" applyFont="1" applyFill="1" applyBorder="1"/>
    <xf numFmtId="168" fontId="9" fillId="0" borderId="31" xfId="26" applyNumberFormat="1" applyFont="1" applyFill="1" applyBorder="1"/>
    <xf numFmtId="1" fontId="9" fillId="0" borderId="31" xfId="26" quotePrefix="1" applyNumberFormat="1" applyFont="1" applyFill="1" applyBorder="1" applyAlignment="1">
      <alignment horizontal="right"/>
    </xf>
    <xf numFmtId="0" fontId="47" fillId="0" borderId="0" xfId="0" applyFont="1"/>
    <xf numFmtId="49" fontId="7" fillId="0" borderId="117" xfId="0" applyNumberFormat="1" applyFont="1" applyBorder="1" applyAlignment="1">
      <alignment horizontal="left"/>
    </xf>
    <xf numFmtId="1" fontId="13" fillId="0" borderId="31" xfId="26" applyNumberFormat="1" applyFont="1" applyFill="1" applyBorder="1" applyAlignment="1">
      <alignment horizontal="right"/>
    </xf>
    <xf numFmtId="192" fontId="15" fillId="0" borderId="0" xfId="58" applyFont="1"/>
    <xf numFmtId="49" fontId="7" fillId="0" borderId="118" xfId="0" applyNumberFormat="1" applyFont="1" applyBorder="1" applyAlignment="1">
      <alignment horizontal="left"/>
    </xf>
    <xf numFmtId="1" fontId="9" fillId="0" borderId="31" xfId="26" applyNumberFormat="1" applyFont="1" applyFill="1" applyBorder="1" applyAlignment="1">
      <alignment horizontal="right"/>
    </xf>
    <xf numFmtId="49" fontId="7" fillId="0" borderId="121" xfId="0" applyNumberFormat="1" applyFont="1" applyBorder="1" applyAlignment="1">
      <alignment horizontal="left"/>
    </xf>
    <xf numFmtId="49" fontId="7" fillId="0" borderId="122" xfId="0" applyNumberFormat="1" applyFont="1" applyBorder="1" applyAlignment="1">
      <alignment horizontal="left"/>
    </xf>
    <xf numFmtId="168" fontId="9" fillId="0" borderId="31" xfId="26" applyNumberFormat="1" applyFont="1" applyFill="1" applyBorder="1" applyAlignment="1">
      <alignment horizontal="right"/>
    </xf>
    <xf numFmtId="49" fontId="7" fillId="0" borderId="125" xfId="0" applyNumberFormat="1" applyFont="1" applyBorder="1" applyAlignment="1">
      <alignment horizontal="left"/>
    </xf>
    <xf numFmtId="1" fontId="13" fillId="0" borderId="31" xfId="26" quotePrefix="1" applyNumberFormat="1" applyFont="1" applyFill="1" applyBorder="1" applyAlignment="1">
      <alignment horizontal="right"/>
    </xf>
    <xf numFmtId="49" fontId="7" fillId="0" borderId="126" xfId="0" applyNumberFormat="1" applyFont="1" applyBorder="1" applyAlignment="1">
      <alignment horizontal="left"/>
    </xf>
    <xf numFmtId="1" fontId="13" fillId="3" borderId="31" xfId="26" quotePrefix="1" applyNumberFormat="1" applyFont="1" applyFill="1" applyBorder="1" applyAlignment="1">
      <alignment horizontal="right"/>
    </xf>
    <xf numFmtId="0" fontId="13" fillId="0" borderId="27" xfId="0" applyNumberFormat="1" applyFont="1" applyBorder="1" applyAlignment="1">
      <alignment vertical="center"/>
    </xf>
    <xf numFmtId="0" fontId="56" fillId="0" borderId="27" xfId="0" applyNumberFormat="1" applyFont="1" applyBorder="1" applyAlignment="1">
      <alignment horizontal="center" vertical="center"/>
    </xf>
    <xf numFmtId="0" fontId="57" fillId="0" borderId="0" xfId="0" applyFont="1"/>
    <xf numFmtId="0" fontId="15" fillId="7" borderId="31" xfId="0" applyNumberFormat="1" applyFont="1" applyFill="1" applyBorder="1" applyAlignment="1">
      <alignment horizontal="center" vertical="center" wrapText="1"/>
    </xf>
    <xf numFmtId="17" fontId="12" fillId="7" borderId="31" xfId="27" applyNumberFormat="1" applyFont="1" applyFill="1" applyBorder="1" applyAlignment="1">
      <alignment horizontal="center" vertical="center" wrapText="1"/>
    </xf>
    <xf numFmtId="204" fontId="9" fillId="3" borderId="31" xfId="0" applyNumberFormat="1" applyFont="1" applyFill="1" applyBorder="1" applyAlignment="1">
      <alignment horizontal="left" vertical="top"/>
    </xf>
    <xf numFmtId="204" fontId="59" fillId="3" borderId="31" xfId="0" quotePrefix="1" applyNumberFormat="1" applyFont="1" applyFill="1" applyBorder="1" applyAlignment="1">
      <alignment horizontal="center" vertical="top"/>
    </xf>
    <xf numFmtId="168" fontId="10" fillId="3" borderId="31" xfId="1" applyNumberFormat="1" applyFont="1" applyFill="1" applyBorder="1" applyAlignment="1">
      <alignment horizontal="right" vertical="top"/>
    </xf>
    <xf numFmtId="3" fontId="10" fillId="3" borderId="31" xfId="1" applyNumberFormat="1" applyFont="1" applyFill="1" applyBorder="1" applyAlignment="1">
      <alignment horizontal="right" vertical="top"/>
    </xf>
    <xf numFmtId="194" fontId="10" fillId="3" borderId="31" xfId="0" applyNumberFormat="1" applyFont="1" applyFill="1" applyBorder="1" applyAlignment="1">
      <alignment horizontal="left" vertical="top"/>
    </xf>
    <xf numFmtId="194" fontId="11" fillId="0" borderId="31" xfId="0" applyNumberFormat="1" applyFont="1" applyBorder="1" applyAlignment="1">
      <alignment horizontal="left" vertical="top"/>
    </xf>
    <xf numFmtId="194" fontId="11" fillId="3" borderId="31" xfId="0" applyNumberFormat="1" applyFont="1" applyFill="1" applyBorder="1" applyAlignment="1">
      <alignment horizontal="left" vertical="top"/>
    </xf>
    <xf numFmtId="3" fontId="59" fillId="7" borderId="31" xfId="1" applyNumberFormat="1" applyFont="1" applyFill="1" applyBorder="1" applyAlignment="1">
      <alignment horizontal="left" vertical="top"/>
    </xf>
    <xf numFmtId="3" fontId="59" fillId="7" borderId="31" xfId="1" applyNumberFormat="1" applyFont="1" applyFill="1" applyBorder="1" applyAlignment="1">
      <alignment horizontal="right" vertical="top"/>
    </xf>
    <xf numFmtId="168" fontId="53" fillId="7" borderId="31" xfId="1" applyNumberFormat="1" applyFont="1" applyFill="1" applyBorder="1" applyAlignment="1">
      <alignment horizontal="right" vertical="top"/>
    </xf>
    <xf numFmtId="3" fontId="53" fillId="7" borderId="31" xfId="1" applyNumberFormat="1" applyFont="1" applyFill="1" applyBorder="1" applyAlignment="1">
      <alignment horizontal="left" vertical="top"/>
    </xf>
    <xf numFmtId="3" fontId="60" fillId="7" borderId="31" xfId="1" applyNumberFormat="1" applyFont="1" applyFill="1" applyBorder="1" applyAlignment="1">
      <alignment horizontal="left" vertical="top"/>
    </xf>
    <xf numFmtId="3" fontId="59" fillId="3" borderId="31" xfId="1" quotePrefix="1" applyNumberFormat="1" applyFont="1" applyFill="1" applyBorder="1" applyAlignment="1">
      <alignment horizontal="center" vertical="top"/>
    </xf>
    <xf numFmtId="179" fontId="10" fillId="0" borderId="0" xfId="0" applyNumberFormat="1" applyFont="1"/>
    <xf numFmtId="168" fontId="10" fillId="3" borderId="31" xfId="1" applyNumberFormat="1" applyFont="1" applyFill="1" applyBorder="1" applyAlignment="1">
      <alignment horizontal="center" vertical="top"/>
    </xf>
    <xf numFmtId="43" fontId="10" fillId="3" borderId="31" xfId="1" applyFont="1" applyFill="1" applyBorder="1" applyAlignment="1">
      <alignment horizontal="center" vertical="top"/>
    </xf>
    <xf numFmtId="164" fontId="11" fillId="3" borderId="31" xfId="0" applyNumberFormat="1" applyFont="1" applyFill="1" applyBorder="1" applyAlignment="1">
      <alignment horizontal="left" vertical="top"/>
    </xf>
    <xf numFmtId="9" fontId="10" fillId="0" borderId="0" xfId="0" applyNumberFormat="1" applyFont="1"/>
    <xf numFmtId="3" fontId="59" fillId="7" borderId="31" xfId="1" applyNumberFormat="1" applyFont="1" applyFill="1" applyBorder="1" applyAlignment="1">
      <alignment horizontal="center" vertical="top"/>
    </xf>
    <xf numFmtId="3" fontId="53" fillId="7" borderId="31" xfId="1" applyNumberFormat="1" applyFont="1" applyFill="1" applyBorder="1" applyAlignment="1">
      <alignment horizontal="right" vertical="top"/>
    </xf>
    <xf numFmtId="204" fontId="59" fillId="3" borderId="31" xfId="0" quotePrefix="1" applyNumberFormat="1" applyFont="1" applyFill="1" applyBorder="1" applyAlignment="1">
      <alignment horizontal="center" vertical="top" wrapText="1"/>
    </xf>
    <xf numFmtId="194" fontId="11" fillId="3" borderId="31" xfId="0" applyNumberFormat="1" applyFont="1" applyFill="1" applyBorder="1" applyAlignment="1">
      <alignment horizontal="center" vertical="top"/>
    </xf>
    <xf numFmtId="43" fontId="10" fillId="3" borderId="31" xfId="1" applyFont="1" applyFill="1" applyBorder="1" applyAlignment="1">
      <alignment horizontal="right" vertical="top"/>
    </xf>
    <xf numFmtId="168" fontId="10" fillId="3" borderId="31" xfId="1" applyNumberFormat="1" applyFont="1" applyFill="1" applyBorder="1" applyAlignment="1">
      <alignment horizontal="center" vertical="center"/>
    </xf>
    <xf numFmtId="194" fontId="11" fillId="7" borderId="31" xfId="0" applyNumberFormat="1" applyFont="1" applyFill="1" applyBorder="1" applyAlignment="1">
      <alignment horizontal="center" vertical="center" wrapText="1"/>
    </xf>
    <xf numFmtId="194" fontId="60" fillId="7" borderId="31" xfId="0" applyNumberFormat="1" applyFont="1" applyFill="1" applyBorder="1" applyAlignment="1">
      <alignment horizontal="center" vertical="center" wrapText="1"/>
    </xf>
    <xf numFmtId="168" fontId="58" fillId="7" borderId="31" xfId="1" applyNumberFormat="1" applyFont="1" applyFill="1" applyBorder="1" applyAlignment="1">
      <alignment horizontal="right" vertical="top"/>
    </xf>
    <xf numFmtId="3" fontId="58" fillId="7" borderId="31" xfId="1" applyNumberFormat="1" applyFont="1" applyFill="1" applyBorder="1" applyAlignment="1">
      <alignment horizontal="right" vertical="top"/>
    </xf>
    <xf numFmtId="204" fontId="10" fillId="3" borderId="31" xfId="0" applyNumberFormat="1" applyFont="1" applyFill="1" applyBorder="1" applyAlignment="1">
      <alignment horizontal="left" vertical="top"/>
    </xf>
    <xf numFmtId="204" fontId="11" fillId="0" borderId="31" xfId="0" applyNumberFormat="1" applyFont="1" applyBorder="1" applyAlignment="1">
      <alignment horizontal="left" vertical="top" wrapText="1"/>
    </xf>
    <xf numFmtId="204" fontId="10" fillId="0" borderId="31" xfId="0" applyNumberFormat="1" applyFont="1" applyBorder="1" applyAlignment="1">
      <alignment horizontal="left" vertical="top" wrapText="1"/>
    </xf>
    <xf numFmtId="194" fontId="15" fillId="7" borderId="31" xfId="0" applyNumberFormat="1" applyFont="1" applyFill="1" applyBorder="1" applyAlignment="1">
      <alignment horizontal="center" vertical="center" wrapText="1"/>
    </xf>
    <xf numFmtId="0" fontId="10" fillId="3" borderId="0" xfId="0" applyFont="1" applyFill="1" applyAlignment="1">
      <alignment horizontal="left"/>
    </xf>
    <xf numFmtId="0" fontId="12" fillId="0" borderId="0" xfId="0" applyFont="1" applyAlignment="1">
      <alignment horizontal="center" vertical="top" wrapText="1"/>
    </xf>
    <xf numFmtId="0" fontId="61" fillId="0" borderId="0" xfId="0" applyFont="1" applyAlignment="1">
      <alignment horizontal="center" vertical="top" wrapText="1"/>
    </xf>
    <xf numFmtId="0" fontId="15" fillId="0" borderId="0" xfId="0" applyFont="1" applyAlignment="1">
      <alignment horizontal="left"/>
    </xf>
    <xf numFmtId="0" fontId="10" fillId="0" borderId="0" xfId="0" applyFont="1" applyAlignment="1">
      <alignment horizontal="left"/>
    </xf>
    <xf numFmtId="0" fontId="53" fillId="0" borderId="0" xfId="0" applyFont="1" applyAlignment="1">
      <alignment horizontal="center"/>
    </xf>
    <xf numFmtId="0" fontId="62" fillId="0" borderId="0" xfId="0" applyFont="1" applyAlignment="1">
      <alignment horizontal="center"/>
    </xf>
    <xf numFmtId="2" fontId="0" fillId="0" borderId="0" xfId="0" applyNumberFormat="1" applyFont="1"/>
    <xf numFmtId="0" fontId="63" fillId="0" borderId="0" xfId="0" applyFont="1" applyAlignment="1">
      <alignment horizontal="center"/>
    </xf>
    <xf numFmtId="0" fontId="64" fillId="0" borderId="0" xfId="0" applyFont="1" applyAlignment="1">
      <alignment vertical="center"/>
    </xf>
    <xf numFmtId="17" fontId="65" fillId="7" borderId="31" xfId="27" applyNumberFormat="1" applyFont="1" applyFill="1" applyBorder="1" applyAlignment="1">
      <alignment horizontal="center" vertical="center" wrapText="1"/>
    </xf>
    <xf numFmtId="17" fontId="66" fillId="7" borderId="31" xfId="27" applyNumberFormat="1" applyFont="1" applyFill="1" applyBorder="1" applyAlignment="1">
      <alignment horizontal="center" vertical="center" wrapText="1"/>
    </xf>
    <xf numFmtId="17" fontId="64" fillId="0" borderId="0" xfId="0" applyNumberFormat="1" applyFont="1" applyAlignment="1">
      <alignment vertical="center"/>
    </xf>
    <xf numFmtId="204" fontId="9" fillId="3" borderId="31" xfId="0" applyNumberFormat="1" applyFont="1" applyFill="1" applyBorder="1" applyAlignment="1">
      <alignment vertical="center"/>
    </xf>
    <xf numFmtId="3" fontId="9" fillId="3" borderId="31" xfId="7" applyNumberFormat="1" applyFont="1" applyFill="1" applyBorder="1" applyAlignment="1">
      <alignment vertical="center"/>
    </xf>
    <xf numFmtId="3" fontId="9" fillId="3" borderId="31" xfId="7" quotePrefix="1" applyNumberFormat="1" applyFont="1" applyFill="1" applyBorder="1" applyAlignment="1">
      <alignment horizontal="center" vertical="center"/>
    </xf>
    <xf numFmtId="3" fontId="9" fillId="3" borderId="31" xfId="7" applyNumberFormat="1" applyFont="1" applyFill="1" applyBorder="1" applyAlignment="1">
      <alignment horizontal="right" vertical="center"/>
    </xf>
    <xf numFmtId="3" fontId="9" fillId="0" borderId="31" xfId="7" applyNumberFormat="1" applyFont="1" applyFill="1" applyBorder="1" applyAlignment="1">
      <alignment horizontal="right" vertical="center"/>
    </xf>
    <xf numFmtId="4" fontId="9" fillId="3" borderId="31" xfId="7" applyNumberFormat="1" applyFont="1" applyFill="1" applyBorder="1" applyAlignment="1">
      <alignment horizontal="right" vertical="center"/>
    </xf>
    <xf numFmtId="2" fontId="9" fillId="3" borderId="31" xfId="7" applyNumberFormat="1" applyFont="1" applyFill="1" applyBorder="1" applyAlignment="1">
      <alignment horizontal="right" vertical="center"/>
    </xf>
    <xf numFmtId="3" fontId="64" fillId="0" borderId="0" xfId="0" applyNumberFormat="1" applyFont="1" applyAlignment="1">
      <alignment vertical="center"/>
    </xf>
    <xf numFmtId="0" fontId="67" fillId="0" borderId="0" xfId="0" applyFont="1"/>
    <xf numFmtId="204" fontId="9" fillId="0" borderId="31" xfId="0" applyNumberFormat="1" applyFont="1" applyBorder="1" applyAlignment="1">
      <alignment vertical="center"/>
    </xf>
    <xf numFmtId="3" fontId="13" fillId="7" borderId="31" xfId="7" applyNumberFormat="1" applyFont="1" applyFill="1" applyBorder="1" applyAlignment="1">
      <alignment vertical="center"/>
    </xf>
    <xf numFmtId="3" fontId="13" fillId="7" borderId="31" xfId="7" applyNumberFormat="1" applyFont="1" applyFill="1" applyBorder="1" applyAlignment="1">
      <alignment horizontal="right" vertical="center"/>
    </xf>
    <xf numFmtId="0" fontId="66" fillId="0" borderId="0" xfId="0" applyFont="1" applyAlignment="1">
      <alignment vertical="center"/>
    </xf>
    <xf numFmtId="4" fontId="13" fillId="7" borderId="31" xfId="7" applyNumberFormat="1" applyFont="1" applyFill="1" applyBorder="1" applyAlignment="1">
      <alignment horizontal="right" vertical="center"/>
    </xf>
    <xf numFmtId="186" fontId="13" fillId="7" borderId="31" xfId="7" applyNumberFormat="1" applyFont="1" applyFill="1" applyBorder="1" applyAlignment="1">
      <alignment horizontal="right" vertical="center"/>
    </xf>
    <xf numFmtId="3" fontId="9" fillId="0" borderId="31" xfId="7" applyNumberFormat="1" applyFont="1" applyFill="1" applyBorder="1" applyAlignment="1">
      <alignment vertical="center"/>
    </xf>
    <xf numFmtId="3" fontId="9" fillId="3" borderId="31" xfId="42" quotePrefix="1" applyNumberFormat="1" applyFont="1" applyFill="1" applyBorder="1" applyAlignment="1">
      <alignment horizontal="center" vertical="center"/>
    </xf>
    <xf numFmtId="186" fontId="9" fillId="3" borderId="31" xfId="7" applyNumberFormat="1" applyFont="1" applyFill="1" applyBorder="1" applyAlignment="1">
      <alignment horizontal="right" vertical="center"/>
    </xf>
    <xf numFmtId="3" fontId="13" fillId="7" borderId="31" xfId="7" applyNumberFormat="1" applyFont="1" applyFill="1" applyBorder="1" applyAlignment="1">
      <alignment horizontal="center" vertical="center" wrapText="1"/>
    </xf>
    <xf numFmtId="4" fontId="9" fillId="0" borderId="31" xfId="7" applyNumberFormat="1" applyFont="1" applyFill="1" applyBorder="1" applyAlignment="1">
      <alignment horizontal="right" vertical="center"/>
    </xf>
    <xf numFmtId="3" fontId="13" fillId="7" borderId="31" xfId="7" applyNumberFormat="1" applyFont="1" applyFill="1" applyBorder="1" applyAlignment="1">
      <alignment horizontal="center" vertical="center"/>
    </xf>
    <xf numFmtId="0" fontId="10" fillId="0" borderId="0" xfId="0" applyFont="1" applyAlignment="1">
      <alignment vertical="center"/>
    </xf>
    <xf numFmtId="0" fontId="15" fillId="0" borderId="0" xfId="0" applyFont="1" applyAlignment="1">
      <alignment vertical="center"/>
    </xf>
    <xf numFmtId="179" fontId="64" fillId="0" borderId="0" xfId="0" applyNumberFormat="1" applyFont="1" applyAlignment="1">
      <alignment vertical="center"/>
    </xf>
    <xf numFmtId="17" fontId="68" fillId="7" borderId="31" xfId="27" applyNumberFormat="1" applyFont="1" applyFill="1" applyBorder="1" applyAlignment="1">
      <alignment horizontal="center" vertical="center" wrapText="1"/>
    </xf>
    <xf numFmtId="204" fontId="69" fillId="3" borderId="31" xfId="0" applyNumberFormat="1" applyFont="1" applyFill="1" applyBorder="1" applyAlignment="1">
      <alignment horizontal="left" vertical="top"/>
    </xf>
    <xf numFmtId="3" fontId="69" fillId="3" borderId="31" xfId="1" applyNumberFormat="1" applyFont="1" applyFill="1" applyBorder="1" applyAlignment="1">
      <alignment horizontal="right" vertical="top"/>
    </xf>
    <xf numFmtId="3" fontId="69" fillId="3" borderId="31" xfId="0" applyNumberFormat="1" applyFont="1" applyFill="1" applyBorder="1" applyAlignment="1">
      <alignment horizontal="center" vertical="top"/>
    </xf>
    <xf numFmtId="43" fontId="70" fillId="3" borderId="31" xfId="1" applyFont="1" applyFill="1" applyBorder="1" applyAlignment="1">
      <alignment horizontal="right" vertical="center"/>
    </xf>
    <xf numFmtId="3" fontId="69" fillId="3" borderId="31" xfId="0" applyNumberFormat="1" applyFont="1" applyFill="1" applyBorder="1" applyAlignment="1">
      <alignment horizontal="right" vertical="top"/>
    </xf>
    <xf numFmtId="3" fontId="69" fillId="0" borderId="31" xfId="0" applyNumberFormat="1" applyFont="1" applyBorder="1" applyAlignment="1">
      <alignment horizontal="center" vertical="top"/>
    </xf>
    <xf numFmtId="43" fontId="69" fillId="3" borderId="31" xfId="0" applyNumberFormat="1" applyFont="1" applyFill="1" applyBorder="1" applyAlignment="1">
      <alignment horizontal="right" vertical="top"/>
    </xf>
    <xf numFmtId="0" fontId="57" fillId="7" borderId="0" xfId="0" applyFont="1" applyFill="1"/>
    <xf numFmtId="43" fontId="69" fillId="3" borderId="31" xfId="1" applyFont="1" applyFill="1" applyBorder="1" applyAlignment="1">
      <alignment horizontal="right" vertical="top"/>
    </xf>
    <xf numFmtId="204" fontId="71" fillId="7" borderId="31" xfId="0" applyNumberFormat="1" applyFont="1" applyFill="1" applyBorder="1" applyAlignment="1">
      <alignment horizontal="left" vertical="top"/>
    </xf>
    <xf numFmtId="3" fontId="71" fillId="7" borderId="31" xfId="1" applyNumberFormat="1" applyFont="1" applyFill="1" applyBorder="1" applyAlignment="1">
      <alignment horizontal="right" vertical="top"/>
    </xf>
    <xf numFmtId="3" fontId="71" fillId="7" borderId="31" xfId="0" applyNumberFormat="1" applyFont="1" applyFill="1" applyBorder="1" applyAlignment="1">
      <alignment horizontal="center" vertical="top"/>
    </xf>
    <xf numFmtId="43" fontId="71" fillId="7" borderId="31" xfId="1" applyFont="1" applyFill="1" applyBorder="1" applyAlignment="1">
      <alignment horizontal="right" vertical="top"/>
    </xf>
    <xf numFmtId="3" fontId="71" fillId="7" borderId="31" xfId="0" applyNumberFormat="1" applyFont="1" applyFill="1" applyBorder="1" applyAlignment="1">
      <alignment horizontal="right" vertical="top"/>
    </xf>
    <xf numFmtId="4" fontId="71" fillId="7" borderId="31" xfId="1" applyNumberFormat="1" applyFont="1" applyFill="1" applyBorder="1" applyAlignment="1">
      <alignment horizontal="right" vertical="top"/>
    </xf>
    <xf numFmtId="204" fontId="69" fillId="0" borderId="31" xfId="0" applyNumberFormat="1" applyFont="1" applyFill="1" applyBorder="1" applyAlignment="1">
      <alignment horizontal="left" vertical="top"/>
    </xf>
    <xf numFmtId="4" fontId="69" fillId="3" borderId="31" xfId="0" applyNumberFormat="1" applyFont="1" applyFill="1" applyBorder="1" applyAlignment="1">
      <alignment horizontal="right" vertical="top"/>
    </xf>
    <xf numFmtId="204" fontId="69" fillId="0" borderId="31" xfId="0" applyNumberFormat="1" applyFont="1" applyBorder="1" applyAlignment="1">
      <alignment horizontal="left" vertical="top"/>
    </xf>
    <xf numFmtId="3" fontId="69" fillId="0" borderId="31" xfId="1" applyNumberFormat="1" applyFont="1" applyFill="1" applyBorder="1" applyAlignment="1">
      <alignment horizontal="right" vertical="top"/>
    </xf>
    <xf numFmtId="4" fontId="69" fillId="3" borderId="31" xfId="1" applyNumberFormat="1" applyFont="1" applyFill="1" applyBorder="1" applyAlignment="1">
      <alignment horizontal="right" vertical="top"/>
    </xf>
    <xf numFmtId="3" fontId="69" fillId="0" borderId="31" xfId="1" applyNumberFormat="1" applyFont="1" applyFill="1" applyBorder="1" applyAlignment="1">
      <alignment horizontal="center" vertical="top"/>
    </xf>
    <xf numFmtId="3" fontId="69" fillId="3" borderId="31" xfId="43" applyNumberFormat="1" applyFont="1" applyFill="1" applyBorder="1" applyAlignment="1">
      <alignment horizontal="left" vertical="top"/>
    </xf>
    <xf numFmtId="204" fontId="69" fillId="0" borderId="31" xfId="61" applyNumberFormat="1" applyFont="1" applyBorder="1" applyAlignment="1">
      <alignment horizontal="left" vertical="top" wrapText="1"/>
    </xf>
    <xf numFmtId="3" fontId="70" fillId="3" borderId="31" xfId="1" applyNumberFormat="1" applyFont="1" applyFill="1" applyBorder="1" applyAlignment="1">
      <alignment horizontal="right" vertical="center"/>
    </xf>
    <xf numFmtId="192" fontId="69" fillId="7" borderId="31" xfId="61" applyFont="1" applyFill="1" applyBorder="1" applyAlignment="1">
      <alignment horizontal="left" vertical="top" wrapText="1"/>
    </xf>
    <xf numFmtId="204" fontId="69" fillId="7" borderId="31" xfId="0" applyNumberFormat="1" applyFont="1" applyFill="1" applyBorder="1" applyAlignment="1">
      <alignment horizontal="left" vertical="top"/>
    </xf>
    <xf numFmtId="3" fontId="69" fillId="7" borderId="31" xfId="1" applyNumberFormat="1" applyFont="1" applyFill="1" applyBorder="1" applyAlignment="1">
      <alignment horizontal="right" vertical="top"/>
    </xf>
    <xf numFmtId="3" fontId="69" fillId="7" borderId="31" xfId="0" applyNumberFormat="1" applyFont="1" applyFill="1" applyBorder="1" applyAlignment="1">
      <alignment horizontal="center" vertical="top"/>
    </xf>
    <xf numFmtId="43" fontId="69" fillId="7" borderId="31" xfId="1" applyFont="1" applyFill="1" applyBorder="1" applyAlignment="1">
      <alignment horizontal="right" vertical="top"/>
    </xf>
    <xf numFmtId="3" fontId="69" fillId="7" borderId="31" xfId="0" applyNumberFormat="1" applyFont="1" applyFill="1" applyBorder="1" applyAlignment="1">
      <alignment horizontal="right" vertical="top"/>
    </xf>
    <xf numFmtId="4" fontId="69" fillId="7" borderId="31" xfId="1" applyNumberFormat="1" applyFont="1" applyFill="1" applyBorder="1" applyAlignment="1">
      <alignment horizontal="right" vertical="top"/>
    </xf>
    <xf numFmtId="3" fontId="69" fillId="3" borderId="31" xfId="43" applyNumberFormat="1" applyFont="1" applyFill="1" applyBorder="1" applyAlignment="1">
      <alignment horizontal="right" vertical="top"/>
    </xf>
    <xf numFmtId="179" fontId="57" fillId="0" borderId="0" xfId="0" applyNumberFormat="1" applyFont="1"/>
    <xf numFmtId="168" fontId="69" fillId="7" borderId="31" xfId="1" applyNumberFormat="1" applyFont="1" applyFill="1" applyBorder="1" applyAlignment="1">
      <alignment horizontal="right" vertical="top"/>
    </xf>
    <xf numFmtId="168" fontId="69" fillId="3" borderId="31" xfId="1" applyNumberFormat="1" applyFont="1" applyFill="1" applyBorder="1" applyAlignment="1">
      <alignment horizontal="right" vertical="top"/>
    </xf>
    <xf numFmtId="192" fontId="69" fillId="7" borderId="31" xfId="61" applyFont="1" applyFill="1" applyBorder="1" applyAlignment="1">
      <alignment horizontal="left" vertical="top"/>
    </xf>
    <xf numFmtId="186" fontId="69" fillId="3" borderId="31" xfId="1" applyNumberFormat="1" applyFont="1" applyFill="1" applyBorder="1" applyAlignment="1">
      <alignment horizontal="right" vertical="top"/>
    </xf>
    <xf numFmtId="204" fontId="69" fillId="3" borderId="31" xfId="0" applyNumberFormat="1" applyFont="1" applyFill="1" applyBorder="1" applyAlignment="1">
      <alignment horizontal="right" vertical="top"/>
    </xf>
    <xf numFmtId="4" fontId="69" fillId="7" borderId="31" xfId="1" applyNumberFormat="1" applyFont="1" applyFill="1" applyBorder="1" applyAlignment="1">
      <alignment vertical="top"/>
    </xf>
    <xf numFmtId="204" fontId="69" fillId="3" borderId="31" xfId="0" applyNumberFormat="1" applyFont="1" applyFill="1" applyBorder="1" applyAlignment="1">
      <alignment horizontal="left" vertical="top" wrapText="1"/>
    </xf>
    <xf numFmtId="186" fontId="69" fillId="3" borderId="31" xfId="0" applyNumberFormat="1" applyFont="1" applyFill="1" applyBorder="1" applyAlignment="1">
      <alignment horizontal="right" vertical="top"/>
    </xf>
    <xf numFmtId="192" fontId="69" fillId="7" borderId="31" xfId="61" applyFont="1" applyFill="1" applyBorder="1" applyAlignment="1">
      <alignment horizontal="left" vertical="center" wrapText="1"/>
    </xf>
    <xf numFmtId="0" fontId="69" fillId="7" borderId="31" xfId="0" applyFont="1" applyFill="1" applyBorder="1" applyAlignment="1">
      <alignment horizontal="left" vertical="center"/>
    </xf>
    <xf numFmtId="204" fontId="69" fillId="7" borderId="31" xfId="0" applyNumberFormat="1" applyFont="1" applyFill="1" applyBorder="1" applyAlignment="1">
      <alignment horizontal="left" vertical="center"/>
    </xf>
    <xf numFmtId="3" fontId="69" fillId="7" borderId="31" xfId="1" applyNumberFormat="1" applyFont="1" applyFill="1" applyBorder="1" applyAlignment="1">
      <alignment horizontal="right" vertical="center"/>
    </xf>
    <xf numFmtId="4" fontId="69" fillId="7" borderId="31" xfId="1" applyNumberFormat="1" applyFont="1" applyFill="1" applyBorder="1" applyAlignment="1">
      <alignment horizontal="right" vertical="center"/>
    </xf>
    <xf numFmtId="3" fontId="69" fillId="7" borderId="31" xfId="0" applyNumberFormat="1" applyFont="1" applyFill="1" applyBorder="1" applyAlignment="1">
      <alignment horizontal="right" vertical="center"/>
    </xf>
    <xf numFmtId="192" fontId="69" fillId="3" borderId="31" xfId="61" applyFont="1" applyFill="1" applyBorder="1" applyAlignment="1">
      <alignment horizontal="center" vertical="center"/>
    </xf>
    <xf numFmtId="3" fontId="69" fillId="3" borderId="31" xfId="61" applyNumberFormat="1" applyFont="1" applyFill="1" applyBorder="1" applyAlignment="1">
      <alignment horizontal="right" vertical="center"/>
    </xf>
    <xf numFmtId="0" fontId="69" fillId="7" borderId="31" xfId="0" applyFont="1" applyFill="1" applyBorder="1" applyAlignment="1">
      <alignment horizontal="left" vertical="top"/>
    </xf>
    <xf numFmtId="0" fontId="57" fillId="0" borderId="0" xfId="0" applyFont="1" applyAlignment="1">
      <alignment horizontal="left"/>
    </xf>
    <xf numFmtId="201" fontId="68" fillId="3" borderId="0" xfId="23" applyNumberFormat="1" applyFont="1" applyFill="1" applyAlignment="1">
      <alignment horizontal="right" vertical="top"/>
    </xf>
    <xf numFmtId="204" fontId="69" fillId="3" borderId="0" xfId="0" applyNumberFormat="1" applyFont="1" applyFill="1" applyAlignment="1">
      <alignment horizontal="right" vertical="top"/>
    </xf>
    <xf numFmtId="0" fontId="31" fillId="3" borderId="0" xfId="0" applyFont="1" applyFill="1" applyAlignment="1">
      <alignment horizontal="left"/>
    </xf>
    <xf numFmtId="0" fontId="22" fillId="3" borderId="0" xfId="0" applyFont="1" applyFill="1" applyAlignment="1">
      <alignment horizontal="left" vertical="top"/>
    </xf>
    <xf numFmtId="0" fontId="57" fillId="0" borderId="0" xfId="0" applyFont="1" applyAlignment="1">
      <alignment horizontal="right"/>
    </xf>
    <xf numFmtId="0" fontId="22" fillId="3" borderId="0" xfId="0" applyFont="1" applyFill="1" applyAlignment="1">
      <alignment horizontal="left" vertical="top" wrapText="1"/>
    </xf>
    <xf numFmtId="0" fontId="57" fillId="0" borderId="0" xfId="0" applyFont="1" applyAlignment="1">
      <alignment wrapText="1"/>
    </xf>
    <xf numFmtId="0" fontId="57" fillId="11" borderId="0" xfId="0" applyFont="1" applyFill="1"/>
    <xf numFmtId="0" fontId="10" fillId="0" borderId="131" xfId="0" applyFont="1" applyFill="1" applyBorder="1"/>
    <xf numFmtId="1" fontId="10" fillId="0" borderId="131" xfId="0" applyNumberFormat="1" applyFont="1" applyFill="1" applyBorder="1"/>
    <xf numFmtId="3" fontId="10" fillId="0" borderId="131" xfId="0" applyNumberFormat="1" applyFont="1" applyFill="1" applyBorder="1"/>
    <xf numFmtId="3" fontId="10" fillId="0" borderId="131" xfId="0" applyNumberFormat="1" applyFont="1" applyFill="1" applyBorder="1" applyAlignment="1">
      <alignment horizontal="right"/>
    </xf>
    <xf numFmtId="0" fontId="10" fillId="0" borderId="0" xfId="5" applyFont="1" applyFill="1" applyBorder="1"/>
    <xf numFmtId="3" fontId="10" fillId="0" borderId="0" xfId="5" applyNumberFormat="1" applyFont="1" applyFill="1" applyBorder="1"/>
    <xf numFmtId="0" fontId="8" fillId="0" borderId="0" xfId="8" applyFont="1" applyFill="1" applyBorder="1" applyAlignment="1">
      <alignment horizontal="right"/>
    </xf>
    <xf numFmtId="1" fontId="8" fillId="0" borderId="0" xfId="8" applyNumberFormat="1" applyFont="1" applyFill="1" applyBorder="1" applyAlignment="1">
      <alignment horizontal="right"/>
    </xf>
    <xf numFmtId="170" fontId="8" fillId="0" borderId="0" xfId="8" applyNumberFormat="1" applyFont="1" applyFill="1" applyBorder="1" applyAlignment="1">
      <alignment horizontal="right"/>
    </xf>
    <xf numFmtId="171" fontId="10" fillId="0" borderId="0" xfId="0" applyNumberFormat="1" applyFont="1" applyBorder="1"/>
    <xf numFmtId="168" fontId="8" fillId="2" borderId="0" xfId="1" applyNumberFormat="1" applyFont="1" applyFill="1" applyBorder="1" applyAlignment="1">
      <alignment horizontal="right"/>
    </xf>
    <xf numFmtId="3" fontId="11" fillId="0" borderId="0" xfId="29" applyNumberFormat="1" applyFont="1" applyFill="1" applyBorder="1" applyAlignment="1">
      <alignment horizontal="right" vertical="top"/>
    </xf>
    <xf numFmtId="49" fontId="23" fillId="2" borderId="131" xfId="0" applyNumberFormat="1" applyFont="1" applyFill="1" applyBorder="1" applyAlignment="1">
      <alignment horizontal="left" wrapText="1"/>
    </xf>
    <xf numFmtId="0" fontId="22" fillId="0" borderId="0" xfId="0" applyNumberFormat="1" applyFont="1" applyFill="1" applyBorder="1" applyAlignment="1">
      <alignment horizontal="left" wrapText="1"/>
    </xf>
    <xf numFmtId="0" fontId="22" fillId="0" borderId="0" xfId="0" applyNumberFormat="1" applyFont="1" applyFill="1" applyBorder="1" applyAlignment="1">
      <alignment horizontal="left"/>
    </xf>
    <xf numFmtId="0" fontId="22" fillId="0" borderId="131" xfId="0" applyNumberFormat="1" applyFont="1" applyFill="1" applyBorder="1" applyAlignment="1">
      <alignment horizontal="left" wrapText="1"/>
    </xf>
    <xf numFmtId="1" fontId="13" fillId="0" borderId="31" xfId="26" applyNumberFormat="1" applyFont="1" applyFill="1" applyBorder="1"/>
    <xf numFmtId="49" fontId="23" fillId="2" borderId="0" xfId="0" applyNumberFormat="1" applyFont="1" applyFill="1" applyAlignment="1">
      <alignment horizontal="left" wrapText="1"/>
    </xf>
    <xf numFmtId="2" fontId="10" fillId="0" borderId="31" xfId="1" applyNumberFormat="1" applyFont="1" applyFill="1" applyBorder="1" applyAlignment="1">
      <alignment vertical="top" wrapText="1"/>
    </xf>
    <xf numFmtId="49" fontId="7" fillId="0" borderId="0" xfId="0" applyNumberFormat="1" applyFont="1" applyFill="1" applyBorder="1" applyAlignment="1">
      <alignment horizontal="left" wrapText="1"/>
    </xf>
    <xf numFmtId="0" fontId="8" fillId="0" borderId="0" xfId="0" applyFont="1" applyFill="1" applyBorder="1" applyAlignment="1">
      <alignment vertical="center"/>
    </xf>
    <xf numFmtId="17" fontId="13" fillId="4" borderId="31" xfId="8" applyNumberFormat="1" applyFont="1" applyFill="1" applyBorder="1" applyAlignment="1">
      <alignment horizontal="center" vertical="center"/>
    </xf>
    <xf numFmtId="0" fontId="68" fillId="0" borderId="0" xfId="0" applyNumberFormat="1" applyFont="1" applyFill="1" applyBorder="1" applyAlignment="1">
      <alignment wrapText="1"/>
    </xf>
    <xf numFmtId="1" fontId="9" fillId="0" borderId="131" xfId="26" applyNumberFormat="1" applyFont="1" applyFill="1" applyBorder="1" applyAlignment="1">
      <alignment horizontal="right"/>
    </xf>
    <xf numFmtId="168" fontId="9" fillId="0" borderId="131" xfId="26" applyNumberFormat="1" applyFont="1" applyFill="1" applyBorder="1" applyAlignment="1">
      <alignment horizontal="right"/>
    </xf>
    <xf numFmtId="1" fontId="9" fillId="0" borderId="131" xfId="26" quotePrefix="1" applyNumberFormat="1" applyFont="1" applyFill="1" applyBorder="1" applyAlignment="1">
      <alignment horizontal="right"/>
    </xf>
    <xf numFmtId="192" fontId="10" fillId="0" borderId="0" xfId="58" applyFont="1" applyBorder="1"/>
    <xf numFmtId="2" fontId="0" fillId="0" borderId="0" xfId="0" applyNumberFormat="1"/>
    <xf numFmtId="4" fontId="0" fillId="0" borderId="0" xfId="0" applyNumberFormat="1"/>
    <xf numFmtId="43" fontId="10" fillId="0" borderId="0" xfId="0" applyNumberFormat="1" applyFont="1"/>
    <xf numFmtId="179" fontId="11" fillId="0" borderId="31" xfId="0" applyNumberFormat="1" applyFont="1" applyBorder="1" applyAlignment="1">
      <alignment horizontal="right"/>
    </xf>
    <xf numFmtId="204" fontId="11" fillId="0" borderId="31" xfId="0" applyNumberFormat="1" applyFont="1" applyBorder="1" applyAlignment="1">
      <alignment horizontal="right"/>
    </xf>
    <xf numFmtId="168" fontId="11" fillId="0" borderId="31" xfId="29" applyNumberFormat="1" applyFont="1" applyBorder="1" applyAlignment="1">
      <alignment horizontal="left" vertical="top" indent="4"/>
    </xf>
    <xf numFmtId="49" fontId="8" fillId="0" borderId="0" xfId="0" applyNumberFormat="1" applyFont="1" applyFill="1" applyBorder="1" applyAlignment="1">
      <alignment horizontal="left"/>
    </xf>
    <xf numFmtId="3" fontId="11" fillId="0" borderId="31" xfId="0" applyNumberFormat="1" applyFont="1" applyBorder="1" applyAlignment="1">
      <alignment horizontal="center"/>
    </xf>
    <xf numFmtId="0" fontId="8" fillId="2" borderId="75" xfId="8" applyFont="1" applyFill="1" applyBorder="1" applyAlignment="1">
      <alignment horizontal="center"/>
    </xf>
    <xf numFmtId="194" fontId="12" fillId="0" borderId="31" xfId="32" applyNumberFormat="1" applyFont="1" applyFill="1" applyBorder="1" applyAlignment="1">
      <alignment horizontal="right"/>
    </xf>
    <xf numFmtId="43" fontId="0" fillId="0" borderId="0" xfId="0" applyNumberFormat="1" applyFill="1" applyBorder="1"/>
    <xf numFmtId="168" fontId="15" fillId="0" borderId="31" xfId="1" applyNumberFormat="1" applyFont="1" applyFill="1" applyBorder="1" applyAlignment="1">
      <alignment horizontal="right" vertical="top" wrapText="1"/>
    </xf>
    <xf numFmtId="168" fontId="11" fillId="0" borderId="98" xfId="1" applyNumberFormat="1" applyFont="1" applyFill="1" applyBorder="1" applyAlignment="1">
      <alignment horizontal="center" wrapText="1"/>
    </xf>
    <xf numFmtId="3" fontId="7" fillId="0" borderId="31" xfId="0" applyNumberFormat="1" applyFont="1" applyFill="1" applyBorder="1" applyAlignment="1">
      <alignment horizontal="right" vertical="top"/>
    </xf>
    <xf numFmtId="49" fontId="7" fillId="10" borderId="31" xfId="0" applyNumberFormat="1" applyFont="1" applyFill="1" applyBorder="1" applyAlignment="1">
      <alignment horizontal="left"/>
    </xf>
    <xf numFmtId="49" fontId="7" fillId="0" borderId="62" xfId="0" applyNumberFormat="1" applyFont="1" applyFill="1" applyBorder="1" applyAlignment="1">
      <alignment horizontal="center"/>
    </xf>
    <xf numFmtId="49" fontId="7" fillId="0" borderId="65" xfId="0" applyNumberFormat="1" applyFont="1" applyFill="1" applyBorder="1" applyAlignment="1">
      <alignment horizontal="center"/>
    </xf>
    <xf numFmtId="49" fontId="7" fillId="0" borderId="66" xfId="0" applyNumberFormat="1" applyFont="1" applyFill="1" applyBorder="1" applyAlignment="1">
      <alignment horizontal="center"/>
    </xf>
    <xf numFmtId="0" fontId="12" fillId="0" borderId="32" xfId="0" applyFont="1" applyFill="1" applyBorder="1" applyAlignment="1"/>
    <xf numFmtId="0" fontId="12" fillId="0" borderId="33" xfId="0" applyFont="1" applyFill="1" applyBorder="1" applyAlignment="1"/>
    <xf numFmtId="0" fontId="12" fillId="0" borderId="4" xfId="0" applyFont="1" applyFill="1" applyBorder="1" applyAlignment="1">
      <alignment horizontal="center" vertical="center" wrapText="1"/>
    </xf>
    <xf numFmtId="0" fontId="12" fillId="0" borderId="8" xfId="0" applyFont="1" applyFill="1" applyBorder="1" applyAlignment="1">
      <alignment horizontal="center" vertical="center" wrapText="1"/>
    </xf>
    <xf numFmtId="49" fontId="7" fillId="0" borderId="7" xfId="0" applyNumberFormat="1" applyFont="1" applyFill="1" applyBorder="1" applyAlignment="1">
      <alignment horizontal="center" vertical="center" wrapText="1"/>
    </xf>
    <xf numFmtId="49" fontId="7" fillId="0" borderId="9" xfId="0" applyNumberFormat="1" applyFont="1" applyFill="1" applyBorder="1" applyAlignment="1">
      <alignment horizontal="center" vertical="center" wrapText="1"/>
    </xf>
    <xf numFmtId="0" fontId="12" fillId="0" borderId="8" xfId="0" applyFont="1" applyFill="1" applyBorder="1" applyAlignment="1">
      <alignment horizontal="center" vertical="center"/>
    </xf>
    <xf numFmtId="0" fontId="12" fillId="0" borderId="10" xfId="0" applyFont="1" applyFill="1" applyBorder="1" applyAlignment="1">
      <alignment horizontal="center" vertical="center"/>
    </xf>
    <xf numFmtId="0" fontId="12" fillId="0" borderId="10" xfId="0" applyFont="1" applyFill="1" applyBorder="1" applyAlignment="1">
      <alignment horizontal="center" vertical="center" wrapText="1"/>
    </xf>
    <xf numFmtId="179" fontId="12" fillId="0" borderId="8" xfId="0" applyNumberFormat="1" applyFont="1" applyFill="1" applyBorder="1" applyAlignment="1">
      <alignment horizontal="center" vertical="center" wrapText="1"/>
    </xf>
    <xf numFmtId="179" fontId="12" fillId="0" borderId="10" xfId="0" applyNumberFormat="1" applyFont="1" applyFill="1" applyBorder="1" applyAlignment="1">
      <alignment horizontal="center" vertical="center" wrapText="1"/>
    </xf>
    <xf numFmtId="0" fontId="12" fillId="0" borderId="2" xfId="0" applyFont="1" applyFill="1" applyBorder="1" applyAlignment="1">
      <alignment horizontal="center" vertical="center"/>
    </xf>
    <xf numFmtId="0" fontId="12" fillId="0" borderId="5" xfId="0" applyFont="1" applyFill="1" applyBorder="1" applyAlignment="1">
      <alignment horizontal="center" vertical="center"/>
    </xf>
    <xf numFmtId="0" fontId="12" fillId="0" borderId="3" xfId="0" applyFont="1" applyFill="1" applyBorder="1" applyAlignment="1">
      <alignment horizontal="center" vertical="center"/>
    </xf>
    <xf numFmtId="0" fontId="12" fillId="0" borderId="2" xfId="0" applyFont="1" applyFill="1" applyBorder="1" applyAlignment="1">
      <alignment horizontal="center" vertical="center" wrapText="1"/>
    </xf>
    <xf numFmtId="0" fontId="12" fillId="0" borderId="5" xfId="0" applyFont="1" applyFill="1" applyBorder="1" applyAlignment="1">
      <alignment horizontal="center" vertical="center" wrapText="1"/>
    </xf>
    <xf numFmtId="49" fontId="7" fillId="0" borderId="0" xfId="0" applyNumberFormat="1" applyFont="1" applyFill="1" applyBorder="1" applyAlignment="1">
      <alignment horizontal="left" vertical="top" wrapText="1"/>
    </xf>
    <xf numFmtId="49" fontId="7" fillId="0" borderId="74" xfId="0" applyNumberFormat="1" applyFont="1" applyFill="1" applyBorder="1" applyAlignment="1">
      <alignment horizontal="center" vertical="center" wrapText="1"/>
    </xf>
    <xf numFmtId="49" fontId="7" fillId="0" borderId="80" xfId="0" applyNumberFormat="1" applyFont="1" applyFill="1" applyBorder="1" applyAlignment="1">
      <alignment horizontal="center" vertical="center" wrapText="1"/>
    </xf>
    <xf numFmtId="49" fontId="7" fillId="0" borderId="76" xfId="0" applyNumberFormat="1" applyFont="1" applyFill="1" applyBorder="1" applyAlignment="1">
      <alignment horizontal="center" vertical="center" wrapText="1"/>
    </xf>
    <xf numFmtId="49" fontId="7" fillId="0" borderId="81" xfId="0" applyNumberFormat="1" applyFont="1" applyFill="1" applyBorder="1" applyAlignment="1">
      <alignment horizontal="center" vertical="center" wrapText="1"/>
    </xf>
    <xf numFmtId="166" fontId="7" fillId="0" borderId="31" xfId="0" applyNumberFormat="1" applyFont="1" applyFill="1" applyBorder="1" applyAlignment="1">
      <alignment horizontal="center" vertical="center" wrapText="1"/>
    </xf>
    <xf numFmtId="166" fontId="7" fillId="0" borderId="71" xfId="0" applyNumberFormat="1" applyFont="1" applyFill="1" applyBorder="1" applyAlignment="1">
      <alignment horizontal="center" vertical="center" wrapText="1"/>
    </xf>
    <xf numFmtId="166" fontId="7" fillId="0" borderId="82" xfId="0" applyNumberFormat="1" applyFont="1" applyFill="1" applyBorder="1" applyAlignment="1">
      <alignment horizontal="center" vertical="center" wrapText="1"/>
    </xf>
    <xf numFmtId="166" fontId="7" fillId="0" borderId="19" xfId="0" applyNumberFormat="1" applyFont="1" applyFill="1" applyBorder="1" applyAlignment="1">
      <alignment horizontal="center" vertical="center" wrapText="1"/>
    </xf>
    <xf numFmtId="166" fontId="7" fillId="0" borderId="74" xfId="0" applyNumberFormat="1" applyFont="1" applyFill="1" applyBorder="1" applyAlignment="1">
      <alignment horizontal="center" vertical="center" wrapText="1"/>
    </xf>
    <xf numFmtId="166" fontId="7" fillId="0" borderId="80" xfId="0" applyNumberFormat="1" applyFont="1" applyFill="1" applyBorder="1" applyAlignment="1">
      <alignment horizontal="center" vertical="center" wrapText="1"/>
    </xf>
    <xf numFmtId="49" fontId="7" fillId="0" borderId="73" xfId="0" applyNumberFormat="1" applyFont="1" applyFill="1" applyBorder="1" applyAlignment="1">
      <alignment horizontal="center" vertical="center" wrapText="1"/>
    </xf>
    <xf numFmtId="49" fontId="7" fillId="0" borderId="78" xfId="0" applyNumberFormat="1" applyFont="1" applyFill="1" applyBorder="1" applyAlignment="1">
      <alignment horizontal="center" vertical="center" wrapText="1"/>
    </xf>
    <xf numFmtId="0" fontId="7" fillId="0" borderId="74" xfId="0" applyFont="1" applyFill="1" applyBorder="1" applyAlignment="1">
      <alignment horizontal="center" vertical="center" wrapText="1"/>
    </xf>
    <xf numFmtId="0" fontId="7" fillId="0" borderId="80" xfId="0" applyFont="1" applyFill="1" applyBorder="1" applyAlignment="1">
      <alignment horizontal="center" vertical="center" wrapText="1"/>
    </xf>
    <xf numFmtId="49" fontId="7" fillId="2" borderId="74" xfId="0" applyNumberFormat="1" applyFont="1" applyFill="1" applyBorder="1" applyAlignment="1">
      <alignment horizontal="center" vertical="center" wrapText="1"/>
    </xf>
    <xf numFmtId="49" fontId="7" fillId="2" borderId="80" xfId="0" applyNumberFormat="1" applyFont="1" applyFill="1" applyBorder="1" applyAlignment="1">
      <alignment horizontal="center" vertical="center" wrapText="1"/>
    </xf>
    <xf numFmtId="49" fontId="8" fillId="0" borderId="0" xfId="0" applyNumberFormat="1" applyFont="1" applyFill="1" applyBorder="1" applyAlignment="1">
      <alignment horizontal="left"/>
    </xf>
    <xf numFmtId="49" fontId="7" fillId="0" borderId="59" xfId="0" applyNumberFormat="1" applyFont="1" applyFill="1" applyBorder="1" applyAlignment="1">
      <alignment horizontal="left" vertical="center"/>
    </xf>
    <xf numFmtId="49" fontId="7" fillId="2" borderId="74" xfId="0" applyNumberFormat="1" applyFont="1" applyFill="1" applyBorder="1" applyAlignment="1">
      <alignment horizontal="center" vertical="center"/>
    </xf>
    <xf numFmtId="49" fontId="7" fillId="2" borderId="80" xfId="0" applyNumberFormat="1" applyFont="1" applyFill="1" applyBorder="1" applyAlignment="1">
      <alignment horizontal="center" vertical="center"/>
    </xf>
    <xf numFmtId="49" fontId="7" fillId="2" borderId="22" xfId="0" applyNumberFormat="1" applyFont="1" applyFill="1" applyBorder="1" applyAlignment="1">
      <alignment horizontal="center" vertical="center"/>
    </xf>
    <xf numFmtId="49" fontId="7" fillId="2" borderId="73" xfId="0" applyNumberFormat="1" applyFont="1" applyFill="1" applyBorder="1" applyAlignment="1">
      <alignment horizontal="center" wrapText="1"/>
    </xf>
    <xf numFmtId="49" fontId="7" fillId="2" borderId="77" xfId="0" applyNumberFormat="1" applyFont="1" applyFill="1" applyBorder="1" applyAlignment="1">
      <alignment horizontal="center" wrapText="1"/>
    </xf>
    <xf numFmtId="49" fontId="7" fillId="2" borderId="78" xfId="0" applyNumberFormat="1" applyFont="1" applyFill="1" applyBorder="1" applyAlignment="1">
      <alignment horizontal="center" wrapText="1"/>
    </xf>
    <xf numFmtId="49" fontId="7" fillId="2" borderId="73" xfId="0" applyNumberFormat="1" applyFont="1" applyFill="1" applyBorder="1" applyAlignment="1">
      <alignment horizontal="center"/>
    </xf>
    <xf numFmtId="49" fontId="7" fillId="2" borderId="78" xfId="0" applyNumberFormat="1" applyFont="1" applyFill="1" applyBorder="1" applyAlignment="1">
      <alignment horizontal="center"/>
    </xf>
    <xf numFmtId="0" fontId="7" fillId="2" borderId="73" xfId="0" applyFont="1" applyFill="1" applyBorder="1" applyAlignment="1">
      <alignment horizontal="center" vertical="center" wrapText="1"/>
    </xf>
    <xf numFmtId="0" fontId="7" fillId="2" borderId="78" xfId="0" applyFont="1" applyFill="1" applyBorder="1" applyAlignment="1">
      <alignment horizontal="center" vertical="center" wrapText="1"/>
    </xf>
    <xf numFmtId="0" fontId="15" fillId="0" borderId="56" xfId="0" applyFont="1" applyBorder="1" applyAlignment="1">
      <alignment horizontal="center" vertical="top"/>
    </xf>
    <xf numFmtId="0" fontId="15" fillId="0" borderId="61" xfId="0" applyFont="1" applyBorder="1" applyAlignment="1">
      <alignment horizontal="center" vertical="top"/>
    </xf>
    <xf numFmtId="0" fontId="11" fillId="0" borderId="0" xfId="0" applyFont="1" applyAlignment="1">
      <alignment horizontal="left" vertical="top"/>
    </xf>
    <xf numFmtId="169" fontId="7" fillId="0" borderId="56" xfId="5" applyNumberFormat="1" applyFont="1" applyFill="1" applyBorder="1" applyAlignment="1">
      <alignment horizontal="center" vertical="top" wrapText="1"/>
    </xf>
    <xf numFmtId="169" fontId="7" fillId="0" borderId="60" xfId="5" applyNumberFormat="1" applyFont="1" applyFill="1" applyBorder="1" applyAlignment="1">
      <alignment horizontal="center" vertical="top" wrapText="1"/>
    </xf>
    <xf numFmtId="169" fontId="7" fillId="0" borderId="61" xfId="5" applyNumberFormat="1" applyFont="1" applyFill="1" applyBorder="1" applyAlignment="1">
      <alignment horizontal="center" vertical="top" wrapText="1"/>
    </xf>
    <xf numFmtId="0" fontId="12" fillId="0" borderId="37" xfId="0" applyFont="1" applyBorder="1" applyAlignment="1">
      <alignment horizontal="left" vertical="top" wrapText="1"/>
    </xf>
    <xf numFmtId="0" fontId="15" fillId="0" borderId="36" xfId="0" applyFont="1" applyBorder="1" applyAlignment="1">
      <alignment horizontal="center" vertical="center"/>
    </xf>
    <xf numFmtId="0" fontId="15" fillId="0" borderId="10" xfId="0" applyFont="1" applyBorder="1" applyAlignment="1">
      <alignment horizontal="center" vertical="center"/>
    </xf>
    <xf numFmtId="0" fontId="15" fillId="0" borderId="49" xfId="0" applyFont="1" applyBorder="1" applyAlignment="1">
      <alignment horizontal="center" vertical="center"/>
    </xf>
    <xf numFmtId="0" fontId="15" fillId="0" borderId="31" xfId="0" applyFont="1" applyFill="1" applyBorder="1" applyAlignment="1">
      <alignment horizontal="center" vertical="top"/>
    </xf>
    <xf numFmtId="49" fontId="7" fillId="0" borderId="45" xfId="0" applyNumberFormat="1" applyFont="1" applyFill="1" applyBorder="1" applyAlignment="1">
      <alignment horizontal="center" vertical="top"/>
    </xf>
    <xf numFmtId="49" fontId="7" fillId="0" borderId="46" xfId="0" applyNumberFormat="1" applyFont="1" applyFill="1" applyBorder="1" applyAlignment="1">
      <alignment horizontal="center" vertical="top"/>
    </xf>
    <xf numFmtId="49" fontId="7" fillId="0" borderId="20" xfId="0" applyNumberFormat="1" applyFont="1" applyFill="1" applyBorder="1" applyAlignment="1">
      <alignment horizontal="left" vertical="top"/>
    </xf>
    <xf numFmtId="0" fontId="8" fillId="0" borderId="0" xfId="0" applyFont="1" applyFill="1" applyBorder="1" applyAlignment="1">
      <alignment horizontal="left" vertical="top" wrapText="1"/>
    </xf>
    <xf numFmtId="0" fontId="8" fillId="0" borderId="0" xfId="0" applyFont="1" applyFill="1" applyBorder="1" applyAlignment="1">
      <alignment horizontal="left" vertical="top"/>
    </xf>
    <xf numFmtId="49" fontId="7" fillId="0" borderId="40" xfId="0" applyNumberFormat="1" applyFont="1" applyFill="1" applyBorder="1" applyAlignment="1">
      <alignment horizontal="center" vertical="top"/>
    </xf>
    <xf numFmtId="49" fontId="7" fillId="0" borderId="41" xfId="0" applyNumberFormat="1" applyFont="1" applyFill="1" applyBorder="1" applyAlignment="1">
      <alignment horizontal="center" vertical="top"/>
    </xf>
    <xf numFmtId="49" fontId="7" fillId="0" borderId="40" xfId="0" applyNumberFormat="1" applyFont="1" applyFill="1" applyBorder="1" applyAlignment="1">
      <alignment horizontal="center" vertical="top" wrapText="1"/>
    </xf>
    <xf numFmtId="49" fontId="7" fillId="0" borderId="41" xfId="0" applyNumberFormat="1" applyFont="1" applyFill="1" applyBorder="1" applyAlignment="1">
      <alignment horizontal="center" vertical="top" wrapText="1"/>
    </xf>
    <xf numFmtId="49" fontId="7" fillId="0" borderId="25" xfId="0" applyNumberFormat="1" applyFont="1" applyFill="1" applyBorder="1" applyAlignment="1">
      <alignment horizontal="center" vertical="top" wrapText="1"/>
    </xf>
    <xf numFmtId="49" fontId="7" fillId="0" borderId="26" xfId="0" applyNumberFormat="1" applyFont="1" applyFill="1" applyBorder="1" applyAlignment="1">
      <alignment horizontal="center" vertical="top" wrapText="1"/>
    </xf>
    <xf numFmtId="49" fontId="7" fillId="0" borderId="13" xfId="0" applyNumberFormat="1" applyFont="1" applyFill="1" applyBorder="1" applyAlignment="1">
      <alignment horizontal="center" vertical="top" wrapText="1"/>
    </xf>
    <xf numFmtId="49" fontId="7" fillId="0" borderId="18" xfId="0" applyNumberFormat="1" applyFont="1" applyFill="1" applyBorder="1" applyAlignment="1">
      <alignment horizontal="center" vertical="top" wrapText="1"/>
    </xf>
    <xf numFmtId="49" fontId="7" fillId="0" borderId="42" xfId="0" applyNumberFormat="1" applyFont="1" applyFill="1" applyBorder="1" applyAlignment="1">
      <alignment horizontal="center" vertical="top"/>
    </xf>
    <xf numFmtId="49" fontId="7" fillId="0" borderId="43" xfId="0" applyNumberFormat="1" applyFont="1" applyFill="1" applyBorder="1" applyAlignment="1">
      <alignment horizontal="center" vertical="top"/>
    </xf>
    <xf numFmtId="49" fontId="7" fillId="0" borderId="44" xfId="0" applyNumberFormat="1" applyFont="1" applyFill="1" applyBorder="1" applyAlignment="1">
      <alignment horizontal="center" vertical="top"/>
    </xf>
    <xf numFmtId="49" fontId="7" fillId="0" borderId="24" xfId="0" applyNumberFormat="1" applyFont="1" applyFill="1" applyBorder="1" applyAlignment="1">
      <alignment horizontal="center" vertical="top"/>
    </xf>
    <xf numFmtId="49" fontId="7" fillId="0" borderId="14" xfId="0" applyNumberFormat="1" applyFont="1" applyFill="1" applyBorder="1" applyAlignment="1">
      <alignment horizontal="center" vertical="top"/>
    </xf>
    <xf numFmtId="169" fontId="43" fillId="0" borderId="48" xfId="0" applyNumberFormat="1" applyFont="1" applyFill="1" applyBorder="1" applyAlignment="1">
      <alignment horizontal="center" vertical="top" wrapText="1"/>
    </xf>
    <xf numFmtId="169" fontId="43" fillId="0" borderId="58" xfId="0" applyNumberFormat="1" applyFont="1" applyFill="1" applyBorder="1" applyAlignment="1">
      <alignment horizontal="center" vertical="top" wrapText="1"/>
    </xf>
    <xf numFmtId="0" fontId="10" fillId="0" borderId="57" xfId="0" applyFont="1" applyBorder="1" applyAlignment="1">
      <alignment vertical="center" wrapText="1"/>
    </xf>
    <xf numFmtId="0" fontId="10" fillId="0" borderId="49" xfId="0" applyFont="1" applyBorder="1" applyAlignment="1">
      <alignment vertical="center" wrapText="1"/>
    </xf>
    <xf numFmtId="0" fontId="10" fillId="0" borderId="10" xfId="0" applyFont="1" applyBorder="1" applyAlignment="1">
      <alignment vertical="center" wrapText="1"/>
    </xf>
    <xf numFmtId="0" fontId="10" fillId="0" borderId="57" xfId="0" applyFont="1" applyBorder="1" applyAlignment="1">
      <alignment vertical="top" wrapText="1"/>
    </xf>
    <xf numFmtId="0" fontId="10" fillId="0" borderId="10" xfId="0" applyFont="1" applyBorder="1" applyAlignment="1">
      <alignment vertical="top" wrapText="1"/>
    </xf>
    <xf numFmtId="0" fontId="10" fillId="0" borderId="49" xfId="0" applyFont="1" applyBorder="1" applyAlignment="1">
      <alignment vertical="top" wrapText="1"/>
    </xf>
    <xf numFmtId="169" fontId="43" fillId="0" borderId="31" xfId="0" applyNumberFormat="1" applyFont="1" applyFill="1" applyBorder="1" applyAlignment="1">
      <alignment horizontal="center" vertical="top" wrapText="1"/>
    </xf>
    <xf numFmtId="0" fontId="15" fillId="0" borderId="31" xfId="0" applyFont="1" applyBorder="1" applyAlignment="1">
      <alignment horizontal="center" vertical="center" wrapText="1"/>
    </xf>
    <xf numFmtId="49" fontId="43" fillId="0" borderId="31" xfId="0" applyNumberFormat="1" applyFont="1" applyFill="1" applyBorder="1" applyAlignment="1">
      <alignment horizontal="center" vertical="top" wrapText="1"/>
    </xf>
    <xf numFmtId="0" fontId="15" fillId="0" borderId="31" xfId="0" applyFont="1" applyBorder="1" applyAlignment="1">
      <alignment horizontal="center" vertical="center"/>
    </xf>
    <xf numFmtId="49" fontId="7" fillId="0" borderId="0" xfId="0" applyNumberFormat="1" applyFont="1" applyFill="1" applyAlignment="1">
      <alignment horizontal="left"/>
    </xf>
    <xf numFmtId="49" fontId="8" fillId="0" borderId="0" xfId="0" applyNumberFormat="1" applyFont="1" applyFill="1" applyBorder="1" applyAlignment="1">
      <alignment horizontal="left" vertical="center" wrapText="1"/>
    </xf>
    <xf numFmtId="49" fontId="7" fillId="2" borderId="2" xfId="0" applyNumberFormat="1" applyFont="1" applyFill="1" applyBorder="1" applyAlignment="1">
      <alignment horizontal="left" vertical="top"/>
    </xf>
    <xf numFmtId="49" fontId="7" fillId="2" borderId="5" xfId="0" applyNumberFormat="1" applyFont="1" applyFill="1" applyBorder="1" applyAlignment="1">
      <alignment horizontal="left" vertical="top"/>
    </xf>
    <xf numFmtId="49" fontId="7" fillId="2" borderId="3" xfId="0" applyNumberFormat="1" applyFont="1" applyFill="1" applyBorder="1" applyAlignment="1">
      <alignment horizontal="left" vertical="top"/>
    </xf>
    <xf numFmtId="49" fontId="7" fillId="2" borderId="23" xfId="0" applyNumberFormat="1" applyFont="1" applyFill="1" applyBorder="1" applyAlignment="1">
      <alignment horizontal="center" vertical="center" wrapText="1"/>
    </xf>
    <xf numFmtId="49" fontId="7" fillId="2" borderId="4" xfId="0" applyNumberFormat="1" applyFont="1" applyFill="1" applyBorder="1" applyAlignment="1">
      <alignment horizontal="center" vertical="center" wrapText="1"/>
    </xf>
    <xf numFmtId="49" fontId="7" fillId="2" borderId="23" xfId="0" applyNumberFormat="1" applyFont="1" applyFill="1" applyBorder="1" applyAlignment="1">
      <alignment horizontal="center" vertical="center"/>
    </xf>
    <xf numFmtId="49" fontId="7" fillId="2" borderId="4" xfId="0" applyNumberFormat="1" applyFont="1" applyFill="1" applyBorder="1" applyAlignment="1">
      <alignment horizontal="center" vertical="center"/>
    </xf>
    <xf numFmtId="0" fontId="8" fillId="0" borderId="0" xfId="0" applyFont="1" applyFill="1" applyBorder="1" applyAlignment="1">
      <alignment horizontal="left" vertical="center"/>
    </xf>
    <xf numFmtId="49" fontId="7" fillId="2" borderId="0" xfId="0" applyNumberFormat="1" applyFont="1" applyFill="1" applyAlignment="1">
      <alignment horizontal="left" vertical="top"/>
    </xf>
    <xf numFmtId="49" fontId="7" fillId="2" borderId="12" xfId="0" applyNumberFormat="1" applyFont="1" applyFill="1" applyBorder="1" applyAlignment="1">
      <alignment horizontal="center" vertical="center" wrapText="1"/>
    </xf>
    <xf numFmtId="49" fontId="7" fillId="2" borderId="22" xfId="0" applyNumberFormat="1" applyFont="1" applyFill="1" applyBorder="1" applyAlignment="1">
      <alignment horizontal="center" vertical="center" wrapText="1"/>
    </xf>
    <xf numFmtId="49" fontId="7" fillId="2" borderId="15" xfId="0" applyNumberFormat="1" applyFont="1" applyFill="1" applyBorder="1" applyAlignment="1">
      <alignment horizontal="center" vertical="center" wrapText="1"/>
    </xf>
    <xf numFmtId="49" fontId="7" fillId="2" borderId="16" xfId="0" applyNumberFormat="1" applyFont="1" applyFill="1" applyBorder="1" applyAlignment="1">
      <alignment horizontal="center" vertical="center" wrapText="1"/>
    </xf>
    <xf numFmtId="49" fontId="7" fillId="2" borderId="15" xfId="0" applyNumberFormat="1" applyFont="1" applyFill="1" applyBorder="1" applyAlignment="1">
      <alignment horizontal="center" vertical="center"/>
    </xf>
    <xf numFmtId="49" fontId="7" fillId="2" borderId="16" xfId="0" applyNumberFormat="1" applyFont="1" applyFill="1" applyBorder="1" applyAlignment="1">
      <alignment horizontal="center" vertical="center"/>
    </xf>
    <xf numFmtId="0" fontId="7" fillId="0" borderId="0" xfId="0" applyFont="1" applyFill="1" applyBorder="1" applyAlignment="1">
      <alignment horizontal="left" vertical="top" wrapText="1"/>
    </xf>
    <xf numFmtId="49" fontId="7" fillId="2" borderId="12" xfId="0" applyNumberFormat="1" applyFont="1" applyFill="1" applyBorder="1" applyAlignment="1">
      <alignment horizontal="center" vertical="center"/>
    </xf>
    <xf numFmtId="49" fontId="7" fillId="2" borderId="17" xfId="0" applyNumberFormat="1" applyFont="1" applyFill="1" applyBorder="1" applyAlignment="1">
      <alignment horizontal="center" vertical="center"/>
    </xf>
    <xf numFmtId="49" fontId="7" fillId="2" borderId="0" xfId="8" applyNumberFormat="1" applyFont="1" applyFill="1" applyAlignment="1">
      <alignment horizontal="left"/>
    </xf>
    <xf numFmtId="49" fontId="7" fillId="2" borderId="0" xfId="8" applyNumberFormat="1" applyFont="1" applyFill="1" applyAlignment="1">
      <alignment horizontal="left" vertical="top" wrapText="1"/>
    </xf>
    <xf numFmtId="49" fontId="7" fillId="2" borderId="12" xfId="8" applyNumberFormat="1" applyFont="1" applyFill="1" applyBorder="1" applyAlignment="1">
      <alignment horizontal="center"/>
    </xf>
    <xf numFmtId="49" fontId="7" fillId="2" borderId="22" xfId="8" applyNumberFormat="1" applyFont="1" applyFill="1" applyBorder="1" applyAlignment="1">
      <alignment horizontal="center"/>
    </xf>
    <xf numFmtId="49" fontId="7" fillId="2" borderId="15" xfId="8" applyNumberFormat="1" applyFont="1" applyFill="1" applyBorder="1" applyAlignment="1">
      <alignment horizontal="center"/>
    </xf>
    <xf numFmtId="49" fontId="7" fillId="2" borderId="16" xfId="8" applyNumberFormat="1" applyFont="1" applyFill="1" applyBorder="1" applyAlignment="1">
      <alignment horizontal="center"/>
    </xf>
    <xf numFmtId="49" fontId="7" fillId="2" borderId="31" xfId="8" applyNumberFormat="1" applyFont="1" applyFill="1" applyBorder="1" applyAlignment="1">
      <alignment horizontal="center" vertical="center" wrapText="1"/>
    </xf>
    <xf numFmtId="49" fontId="7" fillId="2" borderId="31" xfId="8" applyNumberFormat="1" applyFont="1" applyFill="1" applyBorder="1" applyAlignment="1">
      <alignment horizontal="center" vertical="center"/>
    </xf>
    <xf numFmtId="0" fontId="15" fillId="0" borderId="31" xfId="0" applyFont="1" applyBorder="1" applyAlignment="1">
      <alignment horizontal="center" wrapText="1"/>
    </xf>
    <xf numFmtId="49" fontId="7" fillId="2" borderId="0" xfId="8" applyNumberFormat="1" applyFont="1" applyFill="1" applyAlignment="1">
      <alignment horizontal="left" vertical="top"/>
    </xf>
    <xf numFmtId="49" fontId="7" fillId="2" borderId="21" xfId="8" applyNumberFormat="1" applyFont="1" applyFill="1" applyBorder="1" applyAlignment="1">
      <alignment horizontal="center"/>
    </xf>
    <xf numFmtId="49" fontId="7" fillId="2" borderId="13" xfId="8" applyNumberFormat="1" applyFont="1" applyFill="1" applyBorder="1" applyAlignment="1">
      <alignment horizontal="center" vertical="center"/>
    </xf>
    <xf numFmtId="49" fontId="7" fillId="2" borderId="14" xfId="8" applyNumberFormat="1" applyFont="1" applyFill="1" applyBorder="1" applyAlignment="1">
      <alignment horizontal="center" vertical="center"/>
    </xf>
    <xf numFmtId="49" fontId="7" fillId="2" borderId="28" xfId="8" applyNumberFormat="1" applyFont="1" applyFill="1" applyBorder="1" applyAlignment="1">
      <alignment horizontal="center" vertical="center"/>
    </xf>
    <xf numFmtId="49" fontId="7" fillId="2" borderId="29" xfId="8" applyNumberFormat="1" applyFont="1" applyFill="1" applyBorder="1" applyAlignment="1">
      <alignment horizontal="center" vertical="center"/>
    </xf>
    <xf numFmtId="49" fontId="7" fillId="2" borderId="0" xfId="8" applyNumberFormat="1" applyFont="1" applyFill="1" applyAlignment="1">
      <alignment horizontal="left" vertical="center"/>
    </xf>
    <xf numFmtId="49" fontId="7" fillId="2" borderId="15" xfId="8" applyNumberFormat="1" applyFont="1" applyFill="1" applyBorder="1" applyAlignment="1">
      <alignment horizontal="center" vertical="center"/>
    </xf>
    <xf numFmtId="49" fontId="7" fillId="2" borderId="16" xfId="8" applyNumberFormat="1" applyFont="1" applyFill="1" applyBorder="1" applyAlignment="1">
      <alignment horizontal="center" vertical="center"/>
    </xf>
    <xf numFmtId="0" fontId="12" fillId="0" borderId="0" xfId="8" applyNumberFormat="1" applyFont="1" applyFill="1" applyBorder="1" applyAlignment="1">
      <alignment horizontal="left" vertical="center" wrapText="1"/>
    </xf>
    <xf numFmtId="49" fontId="7" fillId="2" borderId="59" xfId="8" applyNumberFormat="1" applyFont="1" applyFill="1" applyBorder="1" applyAlignment="1">
      <alignment horizontal="center" vertical="top" wrapText="1"/>
    </xf>
    <xf numFmtId="49" fontId="7" fillId="2" borderId="74" xfId="8" applyNumberFormat="1" applyFont="1" applyFill="1" applyBorder="1" applyAlignment="1">
      <alignment horizontal="center" vertical="center" wrapText="1"/>
    </xf>
    <xf numFmtId="49" fontId="7" fillId="2" borderId="22" xfId="8" applyNumberFormat="1" applyFont="1" applyFill="1" applyBorder="1" applyAlignment="1">
      <alignment horizontal="center" vertical="center" wrapText="1"/>
    </xf>
    <xf numFmtId="49" fontId="7" fillId="2" borderId="73" xfId="8" applyNumberFormat="1" applyFont="1" applyFill="1" applyBorder="1" applyAlignment="1">
      <alignment horizontal="center" vertical="center" wrapText="1"/>
    </xf>
    <xf numFmtId="49" fontId="7" fillId="2" borderId="77" xfId="8" applyNumberFormat="1" applyFont="1" applyFill="1" applyBorder="1" applyAlignment="1">
      <alignment horizontal="center" vertical="center" wrapText="1"/>
    </xf>
    <xf numFmtId="49" fontId="7" fillId="2" borderId="78" xfId="8" applyNumberFormat="1" applyFont="1" applyFill="1" applyBorder="1" applyAlignment="1">
      <alignment horizontal="center" vertical="center" wrapText="1"/>
    </xf>
    <xf numFmtId="49" fontId="7" fillId="0" borderId="74" xfId="8" applyNumberFormat="1" applyFont="1" applyFill="1" applyBorder="1" applyAlignment="1">
      <alignment horizontal="center" vertical="center" wrapText="1"/>
    </xf>
    <xf numFmtId="49" fontId="7" fillId="0" borderId="22" xfId="8" applyNumberFormat="1" applyFont="1" applyFill="1" applyBorder="1" applyAlignment="1">
      <alignment horizontal="center" vertical="center" wrapText="1"/>
    </xf>
    <xf numFmtId="49" fontId="8" fillId="2" borderId="0" xfId="8" applyNumberFormat="1" applyFont="1" applyFill="1" applyAlignment="1">
      <alignment horizontal="left" vertical="top" wrapText="1"/>
    </xf>
    <xf numFmtId="0" fontId="2" fillId="0" borderId="0" xfId="8" applyNumberFormat="1" applyFont="1" applyFill="1" applyBorder="1" applyAlignment="1">
      <alignment vertical="top" wrapText="1"/>
    </xf>
    <xf numFmtId="49" fontId="7" fillId="2" borderId="0" xfId="8" applyNumberFormat="1" applyFont="1" applyFill="1" applyAlignment="1">
      <alignment horizontal="left" wrapText="1"/>
    </xf>
    <xf numFmtId="49" fontId="7" fillId="2" borderId="0" xfId="8" applyNumberFormat="1" applyFont="1" applyFill="1" applyBorder="1" applyAlignment="1">
      <alignment horizontal="left" wrapText="1"/>
    </xf>
    <xf numFmtId="49" fontId="8" fillId="2" borderId="0" xfId="8" applyNumberFormat="1" applyFont="1" applyFill="1" applyBorder="1" applyAlignment="1">
      <alignment horizontal="left" vertical="top" wrapText="1"/>
    </xf>
    <xf numFmtId="49" fontId="7" fillId="2" borderId="73" xfId="8" applyNumberFormat="1" applyFont="1" applyFill="1" applyBorder="1" applyAlignment="1">
      <alignment horizontal="center" vertical="center"/>
    </xf>
    <xf numFmtId="49" fontId="7" fillId="2" borderId="77" xfId="8" applyNumberFormat="1" applyFont="1" applyFill="1" applyBorder="1" applyAlignment="1">
      <alignment horizontal="center" vertical="center"/>
    </xf>
    <xf numFmtId="49" fontId="7" fillId="2" borderId="78" xfId="8" applyNumberFormat="1" applyFont="1" applyFill="1" applyBorder="1" applyAlignment="1">
      <alignment horizontal="center" vertical="center"/>
    </xf>
    <xf numFmtId="49" fontId="7" fillId="2" borderId="74" xfId="8" applyNumberFormat="1" applyFont="1" applyFill="1" applyBorder="1" applyAlignment="1">
      <alignment horizontal="center" vertical="center"/>
    </xf>
    <xf numFmtId="49" fontId="7" fillId="2" borderId="22" xfId="8" applyNumberFormat="1" applyFont="1" applyFill="1" applyBorder="1" applyAlignment="1">
      <alignment horizontal="center" vertical="center"/>
    </xf>
    <xf numFmtId="49" fontId="7" fillId="2" borderId="73" xfId="8" applyNumberFormat="1" applyFont="1" applyFill="1" applyBorder="1" applyAlignment="1">
      <alignment horizontal="center"/>
    </xf>
    <xf numFmtId="49" fontId="7" fillId="2" borderId="78" xfId="8" applyNumberFormat="1" applyFont="1" applyFill="1" applyBorder="1" applyAlignment="1">
      <alignment horizontal="center"/>
    </xf>
    <xf numFmtId="49" fontId="7" fillId="0" borderId="73" xfId="8" applyNumberFormat="1" applyFont="1" applyFill="1" applyBorder="1" applyAlignment="1">
      <alignment horizontal="center"/>
    </xf>
    <xf numFmtId="49" fontId="7" fillId="0" borderId="78" xfId="8" applyNumberFormat="1" applyFont="1" applyFill="1" applyBorder="1" applyAlignment="1">
      <alignment horizontal="center"/>
    </xf>
    <xf numFmtId="49" fontId="7" fillId="0" borderId="73" xfId="8" applyNumberFormat="1" applyFont="1" applyFill="1" applyBorder="1" applyAlignment="1">
      <alignment horizontal="center" vertical="center"/>
    </xf>
    <xf numFmtId="49" fontId="7" fillId="0" borderId="78" xfId="8" applyNumberFormat="1" applyFont="1" applyFill="1" applyBorder="1" applyAlignment="1">
      <alignment horizontal="center" vertical="center"/>
    </xf>
    <xf numFmtId="0" fontId="2" fillId="0" borderId="77" xfId="8" applyNumberFormat="1" applyFont="1" applyFill="1" applyBorder="1" applyAlignment="1">
      <alignment horizontal="center"/>
    </xf>
    <xf numFmtId="0" fontId="2" fillId="0" borderId="78" xfId="8" applyNumberFormat="1" applyFont="1" applyFill="1" applyBorder="1" applyAlignment="1">
      <alignment horizontal="center"/>
    </xf>
    <xf numFmtId="49" fontId="7" fillId="2" borderId="74" xfId="8" applyNumberFormat="1" applyFont="1" applyFill="1" applyBorder="1" applyAlignment="1">
      <alignment horizontal="center" vertical="top"/>
    </xf>
    <xf numFmtId="49" fontId="7" fillId="2" borderId="22" xfId="8" applyNumberFormat="1" applyFont="1" applyFill="1" applyBorder="1" applyAlignment="1">
      <alignment horizontal="center" vertical="top"/>
    </xf>
    <xf numFmtId="49" fontId="7" fillId="2" borderId="77" xfId="8" applyNumberFormat="1" applyFont="1" applyFill="1" applyBorder="1" applyAlignment="1">
      <alignment horizontal="center"/>
    </xf>
    <xf numFmtId="49" fontId="7" fillId="2" borderId="0" xfId="8" applyNumberFormat="1" applyFont="1" applyFill="1" applyBorder="1" applyAlignment="1">
      <alignment horizontal="left"/>
    </xf>
    <xf numFmtId="49" fontId="25" fillId="2" borderId="0" xfId="8" applyNumberFormat="1" applyFont="1" applyFill="1" applyAlignment="1">
      <alignment horizontal="left" vertical="top" wrapText="1"/>
    </xf>
    <xf numFmtId="49" fontId="27" fillId="2" borderId="0" xfId="8" applyNumberFormat="1" applyFont="1" applyFill="1" applyAlignment="1">
      <alignment horizontal="left" vertical="top" wrapText="1"/>
    </xf>
    <xf numFmtId="49" fontId="8" fillId="2" borderId="0" xfId="8" applyNumberFormat="1" applyFont="1" applyFill="1" applyAlignment="1">
      <alignment horizontal="left" vertical="center"/>
    </xf>
    <xf numFmtId="49" fontId="8" fillId="2" borderId="0" xfId="8" applyNumberFormat="1" applyFont="1" applyFill="1" applyAlignment="1">
      <alignment horizontal="left"/>
    </xf>
    <xf numFmtId="49" fontId="7" fillId="0" borderId="70" xfId="8" applyNumberFormat="1" applyFont="1" applyFill="1" applyBorder="1" applyAlignment="1">
      <alignment horizontal="center" vertical="center"/>
    </xf>
    <xf numFmtId="49" fontId="7" fillId="0" borderId="77" xfId="8" applyNumberFormat="1" applyFont="1" applyFill="1" applyBorder="1" applyAlignment="1">
      <alignment horizontal="center" vertical="center"/>
    </xf>
    <xf numFmtId="49" fontId="7" fillId="0" borderId="67" xfId="8" applyNumberFormat="1" applyFont="1" applyFill="1" applyBorder="1" applyAlignment="1">
      <alignment horizontal="center" vertical="center"/>
    </xf>
    <xf numFmtId="49" fontId="7" fillId="3" borderId="73" xfId="8" applyNumberFormat="1" applyFont="1" applyFill="1" applyBorder="1" applyAlignment="1">
      <alignment horizontal="center"/>
    </xf>
    <xf numFmtId="49" fontId="7" fillId="3" borderId="77" xfId="8" applyNumberFormat="1" applyFont="1" applyFill="1" applyBorder="1" applyAlignment="1">
      <alignment horizontal="center"/>
    </xf>
    <xf numFmtId="49" fontId="7" fillId="3" borderId="0" xfId="8" applyNumberFormat="1" applyFont="1" applyFill="1" applyBorder="1" applyAlignment="1">
      <alignment horizontal="center"/>
    </xf>
    <xf numFmtId="49" fontId="7" fillId="3" borderId="59" xfId="8" applyNumberFormat="1" applyFont="1" applyFill="1" applyBorder="1" applyAlignment="1">
      <alignment horizontal="center"/>
    </xf>
    <xf numFmtId="49" fontId="7" fillId="3" borderId="78" xfId="8" applyNumberFormat="1" applyFont="1" applyFill="1" applyBorder="1" applyAlignment="1">
      <alignment horizontal="center"/>
    </xf>
    <xf numFmtId="49" fontId="7" fillId="0" borderId="31" xfId="8" applyNumberFormat="1" applyFont="1" applyFill="1" applyBorder="1" applyAlignment="1">
      <alignment horizontal="center"/>
    </xf>
    <xf numFmtId="49" fontId="7" fillId="0" borderId="10" xfId="8" applyNumberFormat="1" applyFont="1" applyFill="1" applyBorder="1" applyAlignment="1">
      <alignment horizontal="center"/>
    </xf>
    <xf numFmtId="49" fontId="7" fillId="0" borderId="91" xfId="8" applyNumberFormat="1" applyFont="1" applyFill="1" applyBorder="1" applyAlignment="1">
      <alignment horizontal="center"/>
    </xf>
    <xf numFmtId="49" fontId="8" fillId="2" borderId="0" xfId="8" applyNumberFormat="1" applyFont="1" applyFill="1" applyAlignment="1">
      <alignment horizontal="left" wrapText="1"/>
    </xf>
    <xf numFmtId="49" fontId="7" fillId="2" borderId="0" xfId="8" applyNumberFormat="1" applyFont="1" applyFill="1" applyAlignment="1">
      <alignment horizontal="left" vertical="center" wrapText="1"/>
    </xf>
    <xf numFmtId="0" fontId="12" fillId="0" borderId="38" xfId="64" applyFont="1" applyFill="1" applyBorder="1" applyAlignment="1">
      <alignment horizontal="center" vertical="center"/>
    </xf>
    <xf numFmtId="0" fontId="12" fillId="0" borderId="33" xfId="64" applyFont="1" applyFill="1" applyBorder="1" applyAlignment="1">
      <alignment horizontal="center" vertical="center"/>
    </xf>
    <xf numFmtId="0" fontId="12" fillId="0" borderId="94" xfId="64" applyFont="1" applyFill="1" applyBorder="1" applyAlignment="1">
      <alignment horizontal="center" vertical="center" wrapText="1"/>
    </xf>
    <xf numFmtId="0" fontId="12" fillId="0" borderId="96" xfId="64" applyFont="1" applyFill="1" applyBorder="1" applyAlignment="1">
      <alignment horizontal="center" vertical="center"/>
    </xf>
    <xf numFmtId="0" fontId="12" fillId="0" borderId="50" xfId="64" applyFont="1" applyFill="1" applyBorder="1" applyAlignment="1">
      <alignment horizontal="center" vertical="center"/>
    </xf>
    <xf numFmtId="0" fontId="12" fillId="0" borderId="30" xfId="64" applyFont="1" applyFill="1" applyBorder="1" applyAlignment="1">
      <alignment horizontal="center" vertical="center"/>
    </xf>
    <xf numFmtId="0" fontId="12" fillId="0" borderId="31" xfId="64" applyFont="1" applyFill="1" applyBorder="1" applyAlignment="1">
      <alignment horizontal="center" vertical="center"/>
    </xf>
    <xf numFmtId="187" fontId="12" fillId="0" borderId="91" xfId="13" applyNumberFormat="1" applyFont="1" applyFill="1" applyBorder="1" applyAlignment="1">
      <alignment horizontal="center" vertical="center" wrapText="1"/>
    </xf>
    <xf numFmtId="187" fontId="12" fillId="0" borderId="10" xfId="13" applyNumberFormat="1" applyFont="1" applyFill="1" applyBorder="1" applyAlignment="1">
      <alignment horizontal="center" vertical="center" wrapText="1"/>
    </xf>
    <xf numFmtId="187" fontId="12" fillId="0" borderId="23" xfId="13" applyNumberFormat="1" applyFont="1" applyFill="1" applyBorder="1" applyAlignment="1">
      <alignment horizontal="center" vertical="center" wrapText="1"/>
    </xf>
    <xf numFmtId="0" fontId="12" fillId="0" borderId="96" xfId="64" applyFont="1" applyFill="1" applyBorder="1" applyAlignment="1">
      <alignment horizontal="center" vertical="center" wrapText="1"/>
    </xf>
    <xf numFmtId="0" fontId="12" fillId="0" borderId="79" xfId="64" applyFont="1" applyFill="1" applyBorder="1" applyAlignment="1">
      <alignment horizontal="center" vertical="center" wrapText="1"/>
    </xf>
    <xf numFmtId="0" fontId="12" fillId="0" borderId="9" xfId="64" applyFont="1" applyFill="1" applyBorder="1" applyAlignment="1">
      <alignment horizontal="center" vertical="center" wrapText="1"/>
    </xf>
    <xf numFmtId="0" fontId="12" fillId="0" borderId="31" xfId="64" applyFont="1" applyFill="1" applyBorder="1" applyAlignment="1">
      <alignment horizontal="center" vertical="center" wrapText="1"/>
    </xf>
    <xf numFmtId="0" fontId="12" fillId="0" borderId="38" xfId="64" applyFont="1" applyFill="1" applyBorder="1" applyAlignment="1">
      <alignment horizontal="center" vertical="center" wrapText="1"/>
    </xf>
    <xf numFmtId="0" fontId="12" fillId="0" borderId="52" xfId="64" applyFont="1" applyFill="1" applyBorder="1" applyAlignment="1">
      <alignment horizontal="center" vertical="center" wrapText="1"/>
    </xf>
    <xf numFmtId="0" fontId="12" fillId="0" borderId="52" xfId="64" applyFont="1" applyFill="1" applyBorder="1" applyAlignment="1">
      <alignment horizontal="center" vertical="center"/>
    </xf>
    <xf numFmtId="0" fontId="12" fillId="0" borderId="91" xfId="64" applyFont="1" applyFill="1" applyBorder="1" applyAlignment="1">
      <alignment horizontal="center" vertical="center" wrapText="1"/>
    </xf>
    <xf numFmtId="0" fontId="12" fillId="0" borderId="23" xfId="64" applyFont="1" applyFill="1" applyBorder="1" applyAlignment="1">
      <alignment horizontal="center" vertical="center" wrapText="1"/>
    </xf>
    <xf numFmtId="0" fontId="12" fillId="0" borderId="10" xfId="64" applyFont="1" applyFill="1" applyBorder="1" applyAlignment="1">
      <alignment horizontal="center" vertical="center" wrapText="1"/>
    </xf>
    <xf numFmtId="0" fontId="12" fillId="0" borderId="95" xfId="64" applyFont="1" applyFill="1" applyBorder="1" applyAlignment="1">
      <alignment horizontal="center" vertical="center" wrapText="1"/>
    </xf>
    <xf numFmtId="0" fontId="12" fillId="0" borderId="50" xfId="64" applyFont="1" applyFill="1" applyBorder="1" applyAlignment="1">
      <alignment horizontal="center" vertical="center" wrapText="1"/>
    </xf>
    <xf numFmtId="0" fontId="12" fillId="0" borderId="27" xfId="64" applyFont="1" applyFill="1" applyBorder="1" applyAlignment="1">
      <alignment horizontal="center" vertical="center" wrapText="1"/>
    </xf>
    <xf numFmtId="0" fontId="12" fillId="0" borderId="30" xfId="64" applyFont="1" applyFill="1" applyBorder="1" applyAlignment="1">
      <alignment horizontal="center" vertical="center" wrapText="1"/>
    </xf>
    <xf numFmtId="0" fontId="12" fillId="0" borderId="38" xfId="12" applyFont="1" applyFill="1" applyBorder="1" applyAlignment="1">
      <alignment horizontal="center" vertical="center"/>
    </xf>
    <xf numFmtId="0" fontId="12" fillId="0" borderId="33" xfId="12" applyFont="1" applyFill="1" applyBorder="1" applyAlignment="1">
      <alignment horizontal="center" vertical="center"/>
    </xf>
    <xf numFmtId="0" fontId="12" fillId="0" borderId="94" xfId="12" applyFont="1" applyFill="1" applyBorder="1" applyAlignment="1">
      <alignment horizontal="center" vertical="center" wrapText="1"/>
    </xf>
    <xf numFmtId="0" fontId="12" fillId="0" borderId="96" xfId="12" applyFont="1" applyFill="1" applyBorder="1" applyAlignment="1">
      <alignment horizontal="center" vertical="center"/>
    </xf>
    <xf numFmtId="0" fontId="12" fillId="0" borderId="50" xfId="12" applyFont="1" applyFill="1" applyBorder="1" applyAlignment="1">
      <alignment horizontal="center" vertical="center"/>
    </xf>
    <xf numFmtId="0" fontId="12" fillId="0" borderId="30" xfId="12" applyFont="1" applyFill="1" applyBorder="1" applyAlignment="1">
      <alignment horizontal="center" vertical="center"/>
    </xf>
    <xf numFmtId="0" fontId="12" fillId="0" borderId="31" xfId="12" applyFont="1" applyFill="1" applyBorder="1" applyAlignment="1">
      <alignment horizontal="center" vertical="center"/>
    </xf>
    <xf numFmtId="0" fontId="12" fillId="0" borderId="96" xfId="12" applyFont="1" applyFill="1" applyBorder="1" applyAlignment="1">
      <alignment horizontal="center" vertical="center" wrapText="1"/>
    </xf>
    <xf numFmtId="0" fontId="12" fillId="0" borderId="79" xfId="12" applyFont="1" applyFill="1" applyBorder="1" applyAlignment="1">
      <alignment horizontal="center" vertical="center" wrapText="1"/>
    </xf>
    <xf numFmtId="0" fontId="12" fillId="0" borderId="9" xfId="12" applyFont="1" applyFill="1" applyBorder="1" applyAlignment="1">
      <alignment horizontal="center" vertical="center" wrapText="1"/>
    </xf>
    <xf numFmtId="0" fontId="12" fillId="0" borderId="31" xfId="12" applyFont="1" applyFill="1" applyBorder="1" applyAlignment="1">
      <alignment horizontal="center" vertical="center" wrapText="1"/>
    </xf>
    <xf numFmtId="0" fontId="12" fillId="0" borderId="38" xfId="12" applyFont="1" applyFill="1" applyBorder="1" applyAlignment="1">
      <alignment horizontal="center" vertical="center" wrapText="1"/>
    </xf>
    <xf numFmtId="0" fontId="12" fillId="0" borderId="52" xfId="12" applyFont="1" applyFill="1" applyBorder="1" applyAlignment="1">
      <alignment horizontal="center" vertical="center" wrapText="1"/>
    </xf>
    <xf numFmtId="0" fontId="12" fillId="0" borderId="52" xfId="12" applyFont="1" applyFill="1" applyBorder="1" applyAlignment="1">
      <alignment horizontal="center" vertical="center"/>
    </xf>
    <xf numFmtId="0" fontId="12" fillId="0" borderId="91" xfId="12" applyFont="1" applyFill="1" applyBorder="1" applyAlignment="1">
      <alignment horizontal="center" vertical="center" wrapText="1"/>
    </xf>
    <xf numFmtId="0" fontId="12" fillId="0" borderId="10" xfId="12" applyFont="1" applyFill="1" applyBorder="1" applyAlignment="1">
      <alignment horizontal="center" vertical="center" wrapText="1"/>
    </xf>
    <xf numFmtId="0" fontId="12" fillId="0" borderId="23" xfId="12" applyFont="1" applyFill="1" applyBorder="1" applyAlignment="1">
      <alignment horizontal="center" vertical="center" wrapText="1"/>
    </xf>
    <xf numFmtId="0" fontId="12" fillId="0" borderId="95" xfId="12" applyFont="1" applyFill="1" applyBorder="1" applyAlignment="1">
      <alignment horizontal="center" vertical="center" wrapText="1"/>
    </xf>
    <xf numFmtId="0" fontId="12" fillId="0" borderId="50" xfId="12" applyFont="1" applyFill="1" applyBorder="1" applyAlignment="1">
      <alignment horizontal="center" vertical="center" wrapText="1"/>
    </xf>
    <xf numFmtId="0" fontId="12" fillId="0" borderId="27" xfId="12" applyFont="1" applyFill="1" applyBorder="1" applyAlignment="1">
      <alignment horizontal="center" vertical="center" wrapText="1"/>
    </xf>
    <xf numFmtId="0" fontId="12" fillId="0" borderId="30" xfId="12" applyFont="1" applyFill="1" applyBorder="1" applyAlignment="1">
      <alignment horizontal="center" vertical="center" wrapText="1"/>
    </xf>
    <xf numFmtId="0" fontId="7" fillId="2" borderId="51" xfId="8" applyFont="1" applyFill="1" applyBorder="1" applyAlignment="1">
      <alignment horizontal="center" vertical="center" wrapText="1"/>
    </xf>
    <xf numFmtId="0" fontId="7" fillId="2" borderId="22" xfId="8" applyFont="1" applyFill="1" applyBorder="1" applyAlignment="1">
      <alignment horizontal="center" vertical="center" wrapText="1"/>
    </xf>
    <xf numFmtId="49" fontId="7" fillId="2" borderId="51" xfId="8" applyNumberFormat="1" applyFont="1" applyFill="1" applyBorder="1" applyAlignment="1">
      <alignment horizontal="center" vertical="center" wrapText="1"/>
    </xf>
    <xf numFmtId="49" fontId="7" fillId="2" borderId="80" xfId="8" applyNumberFormat="1" applyFont="1" applyFill="1" applyBorder="1" applyAlignment="1">
      <alignment horizontal="center" vertical="center" wrapText="1"/>
    </xf>
    <xf numFmtId="49" fontId="7" fillId="2" borderId="53" xfId="8" applyNumberFormat="1" applyFont="1" applyFill="1" applyBorder="1" applyAlignment="1">
      <alignment horizontal="center" vertical="center"/>
    </xf>
    <xf numFmtId="49" fontId="7" fillId="2" borderId="55" xfId="8" applyNumberFormat="1" applyFont="1" applyFill="1" applyBorder="1" applyAlignment="1">
      <alignment horizontal="center" vertical="center"/>
    </xf>
    <xf numFmtId="49" fontId="7" fillId="2" borderId="54" xfId="8" applyNumberFormat="1" applyFont="1" applyFill="1" applyBorder="1" applyAlignment="1">
      <alignment horizontal="center" vertical="center"/>
    </xf>
    <xf numFmtId="0" fontId="7" fillId="2" borderId="53" xfId="8" applyFont="1" applyFill="1" applyBorder="1" applyAlignment="1">
      <alignment horizontal="center" vertical="center" wrapText="1"/>
    </xf>
    <xf numFmtId="0" fontId="7" fillId="2" borderId="55" xfId="8" applyFont="1" applyFill="1" applyBorder="1" applyAlignment="1">
      <alignment horizontal="center" vertical="center" wrapText="1"/>
    </xf>
    <xf numFmtId="0" fontId="2" fillId="0" borderId="54" xfId="8" applyNumberFormat="1" applyFont="1" applyFill="1" applyBorder="1" applyAlignment="1">
      <alignment horizontal="center" vertical="center" wrapText="1"/>
    </xf>
    <xf numFmtId="0" fontId="7" fillId="2" borderId="54" xfId="8" applyFont="1" applyFill="1" applyBorder="1" applyAlignment="1">
      <alignment horizontal="center" vertical="center" wrapText="1"/>
    </xf>
    <xf numFmtId="49" fontId="7" fillId="2" borderId="51" xfId="8" applyNumberFormat="1" applyFont="1" applyFill="1" applyBorder="1" applyAlignment="1">
      <alignment horizontal="center" vertical="center"/>
    </xf>
    <xf numFmtId="49" fontId="7" fillId="2" borderId="53" xfId="8" applyNumberFormat="1" applyFont="1" applyFill="1" applyBorder="1" applyAlignment="1">
      <alignment horizontal="center"/>
    </xf>
    <xf numFmtId="49" fontId="7" fillId="2" borderId="55" xfId="8" applyNumberFormat="1" applyFont="1" applyFill="1" applyBorder="1" applyAlignment="1">
      <alignment horizontal="center"/>
    </xf>
    <xf numFmtId="49" fontId="7" fillId="2" borderId="54" xfId="8" applyNumberFormat="1" applyFont="1" applyFill="1" applyBorder="1" applyAlignment="1">
      <alignment horizontal="center"/>
    </xf>
    <xf numFmtId="49" fontId="7" fillId="2" borderId="33" xfId="8" applyNumberFormat="1" applyFont="1" applyFill="1" applyBorder="1" applyAlignment="1">
      <alignment horizontal="center" vertical="center"/>
    </xf>
    <xf numFmtId="49" fontId="7" fillId="2" borderId="52" xfId="8" applyNumberFormat="1" applyFont="1" applyFill="1" applyBorder="1" applyAlignment="1">
      <alignment horizontal="center" vertical="center"/>
    </xf>
    <xf numFmtId="49" fontId="7" fillId="2" borderId="80" xfId="8" applyNumberFormat="1" applyFont="1" applyFill="1" applyBorder="1" applyAlignment="1">
      <alignment horizontal="center" vertical="center"/>
    </xf>
    <xf numFmtId="49" fontId="7" fillId="2" borderId="40" xfId="8" applyNumberFormat="1" applyFont="1" applyFill="1" applyBorder="1" applyAlignment="1">
      <alignment horizontal="center" vertical="center"/>
    </xf>
    <xf numFmtId="49" fontId="7" fillId="2" borderId="41" xfId="8" applyNumberFormat="1" applyFont="1" applyFill="1" applyBorder="1" applyAlignment="1">
      <alignment horizontal="center" vertical="center"/>
    </xf>
    <xf numFmtId="49" fontId="7" fillId="2" borderId="40" xfId="8" applyNumberFormat="1" applyFont="1" applyFill="1" applyBorder="1" applyAlignment="1">
      <alignment horizontal="center" vertical="center" wrapText="1"/>
    </xf>
    <xf numFmtId="49" fontId="7" fillId="2" borderId="41" xfId="8" applyNumberFormat="1" applyFont="1" applyFill="1" applyBorder="1" applyAlignment="1">
      <alignment horizontal="center" vertical="center" wrapText="1"/>
    </xf>
    <xf numFmtId="49" fontId="7" fillId="2" borderId="28" xfId="8" applyNumberFormat="1" applyFont="1" applyFill="1" applyBorder="1" applyAlignment="1">
      <alignment horizontal="center" vertical="center" wrapText="1"/>
    </xf>
    <xf numFmtId="49" fontId="7" fillId="2" borderId="29" xfId="8" applyNumberFormat="1" applyFont="1" applyFill="1" applyBorder="1" applyAlignment="1">
      <alignment horizontal="center" vertical="center" wrapText="1"/>
    </xf>
    <xf numFmtId="49" fontId="7" fillId="2" borderId="51" xfId="8" applyNumberFormat="1" applyFont="1" applyFill="1" applyBorder="1" applyAlignment="1">
      <alignment horizontal="center" wrapText="1"/>
    </xf>
    <xf numFmtId="0" fontId="2" fillId="0" borderId="22" xfId="8" applyNumberFormat="1" applyFont="1" applyFill="1" applyBorder="1" applyAlignment="1">
      <alignment horizontal="center" wrapText="1"/>
    </xf>
    <xf numFmtId="49" fontId="7" fillId="2" borderId="0" xfId="8" applyNumberFormat="1" applyFont="1" applyFill="1" applyAlignment="1">
      <alignment horizontal="center" vertical="center" wrapText="1"/>
    </xf>
    <xf numFmtId="49" fontId="7" fillId="2" borderId="97" xfId="8" applyNumberFormat="1" applyFont="1" applyFill="1" applyBorder="1" applyAlignment="1">
      <alignment horizontal="center" vertical="center"/>
    </xf>
    <xf numFmtId="0" fontId="7" fillId="2" borderId="97" xfId="8" applyFont="1" applyFill="1" applyBorder="1" applyAlignment="1">
      <alignment horizontal="center" vertical="center" wrapText="1"/>
    </xf>
    <xf numFmtId="0" fontId="7" fillId="2" borderId="41" xfId="8" applyFont="1" applyFill="1" applyBorder="1" applyAlignment="1">
      <alignment horizontal="center" vertical="center" wrapText="1"/>
    </xf>
    <xf numFmtId="0" fontId="7" fillId="2" borderId="53" xfId="8" applyFont="1" applyFill="1" applyBorder="1" applyAlignment="1">
      <alignment horizontal="center" wrapText="1"/>
    </xf>
    <xf numFmtId="0" fontId="7" fillId="2" borderId="55" xfId="8" applyFont="1" applyFill="1" applyBorder="1" applyAlignment="1">
      <alignment horizontal="center" wrapText="1"/>
    </xf>
    <xf numFmtId="0" fontId="7" fillId="2" borderId="54" xfId="8" applyFont="1" applyFill="1" applyBorder="1" applyAlignment="1">
      <alignment horizontal="center" wrapText="1"/>
    </xf>
    <xf numFmtId="49" fontId="7" fillId="2" borderId="40" xfId="8" applyNumberFormat="1" applyFont="1" applyFill="1" applyBorder="1" applyAlignment="1">
      <alignment horizontal="center"/>
    </xf>
    <xf numFmtId="49" fontId="7" fillId="2" borderId="97" xfId="8" applyNumberFormat="1" applyFont="1" applyFill="1" applyBorder="1" applyAlignment="1">
      <alignment horizontal="center"/>
    </xf>
    <xf numFmtId="49" fontId="7" fillId="2" borderId="41" xfId="8" applyNumberFormat="1" applyFont="1" applyFill="1" applyBorder="1" applyAlignment="1">
      <alignment horizontal="center"/>
    </xf>
    <xf numFmtId="49" fontId="7" fillId="0" borderId="51" xfId="8" applyNumberFormat="1" applyFont="1" applyFill="1" applyBorder="1" applyAlignment="1">
      <alignment horizontal="center" vertical="center"/>
    </xf>
    <xf numFmtId="49" fontId="7" fillId="0" borderId="28" xfId="8" applyNumberFormat="1" applyFont="1" applyFill="1" applyBorder="1" applyAlignment="1">
      <alignment horizontal="center" vertical="center"/>
    </xf>
    <xf numFmtId="49" fontId="7" fillId="0" borderId="40" xfId="8" applyNumberFormat="1" applyFont="1" applyFill="1" applyBorder="1" applyAlignment="1">
      <alignment horizontal="center" vertical="center"/>
    </xf>
    <xf numFmtId="0" fontId="2" fillId="0" borderId="97" xfId="8" applyNumberFormat="1" applyFont="1" applyFill="1" applyBorder="1" applyAlignment="1">
      <alignment horizontal="center" vertical="center"/>
    </xf>
    <xf numFmtId="0" fontId="2" fillId="0" borderId="41" xfId="8" applyNumberFormat="1" applyFont="1" applyFill="1" applyBorder="1" applyAlignment="1">
      <alignment horizontal="center" vertical="center"/>
    </xf>
    <xf numFmtId="49" fontId="7" fillId="0" borderId="53" xfId="8" applyNumberFormat="1" applyFont="1" applyFill="1" applyBorder="1" applyAlignment="1">
      <alignment horizontal="center" vertical="center"/>
    </xf>
    <xf numFmtId="0" fontId="2" fillId="0" borderId="55" xfId="8" applyNumberFormat="1" applyFont="1" applyFill="1" applyBorder="1" applyAlignment="1">
      <alignment horizontal="center" vertical="center"/>
    </xf>
    <xf numFmtId="0" fontId="2" fillId="0" borderId="54" xfId="8" applyNumberFormat="1" applyFont="1" applyFill="1" applyBorder="1" applyAlignment="1">
      <alignment horizontal="center" vertical="center"/>
    </xf>
    <xf numFmtId="49" fontId="8" fillId="0" borderId="0" xfId="8" applyNumberFormat="1" applyFont="1" applyFill="1" applyBorder="1" applyAlignment="1">
      <alignment horizontal="left" wrapText="1"/>
    </xf>
    <xf numFmtId="49" fontId="7" fillId="3" borderId="59" xfId="0" applyNumberFormat="1" applyFont="1" applyFill="1" applyBorder="1" applyAlignment="1">
      <alignment horizontal="left" vertical="top" wrapText="1"/>
    </xf>
    <xf numFmtId="49" fontId="23" fillId="2" borderId="0" xfId="0" applyNumberFormat="1" applyFont="1" applyFill="1" applyAlignment="1">
      <alignment horizontal="left" wrapText="1"/>
    </xf>
    <xf numFmtId="0" fontId="23" fillId="2" borderId="0" xfId="0" applyFont="1" applyFill="1" applyAlignment="1">
      <alignment horizontal="left" wrapText="1"/>
    </xf>
    <xf numFmtId="49" fontId="23" fillId="2" borderId="0" xfId="0" applyNumberFormat="1" applyFont="1" applyFill="1" applyBorder="1" applyAlignment="1">
      <alignment horizontal="left" wrapText="1"/>
    </xf>
    <xf numFmtId="49" fontId="68" fillId="2" borderId="0" xfId="0" applyNumberFormat="1" applyFont="1" applyFill="1" applyAlignment="1">
      <alignment horizontal="left" wrapText="1"/>
    </xf>
    <xf numFmtId="49" fontId="7" fillId="2" borderId="98" xfId="0" applyNumberFormat="1" applyFont="1" applyFill="1" applyBorder="1" applyAlignment="1">
      <alignment horizontal="center" vertical="center" wrapText="1"/>
    </xf>
    <xf numFmtId="49" fontId="7" fillId="2" borderId="98" xfId="0" applyNumberFormat="1" applyFont="1" applyFill="1" applyBorder="1" applyAlignment="1">
      <alignment horizontal="center" vertical="center"/>
    </xf>
    <xf numFmtId="0" fontId="7" fillId="2" borderId="98" xfId="0" applyFont="1" applyFill="1" applyBorder="1" applyAlignment="1">
      <alignment horizontal="center" vertical="center" wrapText="1"/>
    </xf>
    <xf numFmtId="0" fontId="7" fillId="2" borderId="77" xfId="0" applyFont="1" applyFill="1" applyBorder="1" applyAlignment="1">
      <alignment horizontal="center" vertical="center" wrapText="1"/>
    </xf>
    <xf numFmtId="49" fontId="7" fillId="2" borderId="73" xfId="0" applyNumberFormat="1" applyFont="1" applyFill="1" applyBorder="1" applyAlignment="1">
      <alignment horizontal="center" vertical="center" wrapText="1"/>
    </xf>
    <xf numFmtId="49" fontId="7" fillId="2" borderId="78" xfId="0" applyNumberFormat="1" applyFont="1" applyFill="1" applyBorder="1" applyAlignment="1">
      <alignment horizontal="center" vertical="center"/>
    </xf>
    <xf numFmtId="49" fontId="7" fillId="3" borderId="0" xfId="0" applyNumberFormat="1" applyFont="1" applyFill="1" applyAlignment="1">
      <alignment horizontal="left" vertical="top" wrapText="1"/>
    </xf>
    <xf numFmtId="49" fontId="7" fillId="3" borderId="0" xfId="0" applyNumberFormat="1" applyFont="1" applyFill="1" applyAlignment="1">
      <alignment horizontal="left" vertical="top"/>
    </xf>
    <xf numFmtId="49" fontId="7" fillId="2" borderId="98" xfId="0" applyNumberFormat="1" applyFont="1" applyFill="1" applyBorder="1" applyAlignment="1">
      <alignment horizontal="left" vertical="center" wrapText="1"/>
    </xf>
    <xf numFmtId="49" fontId="7" fillId="2" borderId="31" xfId="0" applyNumberFormat="1" applyFont="1" applyFill="1" applyBorder="1" applyAlignment="1">
      <alignment horizontal="left" vertical="center" wrapText="1"/>
    </xf>
    <xf numFmtId="0" fontId="12" fillId="3" borderId="99" xfId="0" applyFont="1" applyFill="1" applyBorder="1" applyAlignment="1">
      <alignment horizontal="left" vertical="center" wrapText="1"/>
    </xf>
    <xf numFmtId="0" fontId="12" fillId="3" borderId="27" xfId="0" applyFont="1" applyFill="1" applyBorder="1" applyAlignment="1">
      <alignment horizontal="left" vertical="center" wrapText="1"/>
    </xf>
    <xf numFmtId="0" fontId="12" fillId="0" borderId="98" xfId="0" applyFont="1" applyFill="1" applyBorder="1" applyAlignment="1">
      <alignment horizontal="center" vertical="center" wrapText="1"/>
    </xf>
    <xf numFmtId="0" fontId="11" fillId="0" borderId="98" xfId="0" applyNumberFormat="1" applyFont="1" applyFill="1" applyBorder="1" applyAlignment="1"/>
    <xf numFmtId="0" fontId="12" fillId="0" borderId="98" xfId="0" applyNumberFormat="1" applyFont="1" applyFill="1" applyBorder="1" applyAlignment="1">
      <alignment horizontal="center"/>
    </xf>
    <xf numFmtId="49" fontId="7" fillId="2" borderId="0" xfId="0" applyNumberFormat="1" applyFont="1" applyFill="1" applyAlignment="1">
      <alignment horizontal="left" wrapText="1"/>
    </xf>
    <xf numFmtId="49" fontId="7" fillId="0" borderId="98" xfId="0" applyNumberFormat="1" applyFont="1" applyFill="1" applyBorder="1" applyAlignment="1">
      <alignment horizontal="left" wrapText="1"/>
    </xf>
    <xf numFmtId="49" fontId="7" fillId="2" borderId="98" xfId="0" applyNumberFormat="1" applyFont="1" applyFill="1" applyBorder="1" applyAlignment="1">
      <alignment horizontal="left" vertical="center"/>
    </xf>
    <xf numFmtId="0" fontId="7" fillId="2" borderId="98" xfId="0" applyFont="1" applyFill="1" applyBorder="1" applyAlignment="1">
      <alignment horizontal="left" vertical="center" wrapText="1"/>
    </xf>
    <xf numFmtId="49" fontId="12" fillId="0" borderId="27" xfId="8" applyNumberFormat="1" applyFont="1" applyFill="1" applyBorder="1" applyAlignment="1">
      <alignment vertical="center" wrapText="1"/>
    </xf>
    <xf numFmtId="0" fontId="12" fillId="0" borderId="98" xfId="31" applyFont="1" applyFill="1" applyBorder="1" applyAlignment="1">
      <alignment vertical="center" wrapText="1"/>
    </xf>
    <xf numFmtId="0" fontId="12" fillId="0" borderId="98" xfId="31" applyFont="1" applyFill="1" applyBorder="1" applyAlignment="1">
      <alignment vertical="center"/>
    </xf>
    <xf numFmtId="168" fontId="12" fillId="0" borderId="84" xfId="1" applyNumberFormat="1" applyFont="1" applyFill="1" applyBorder="1" applyAlignment="1">
      <alignment horizontal="center" vertical="center"/>
    </xf>
    <xf numFmtId="168" fontId="12" fillId="0" borderId="100" xfId="1" applyNumberFormat="1" applyFont="1" applyFill="1" applyBorder="1" applyAlignment="1">
      <alignment horizontal="center" vertical="center"/>
    </xf>
    <xf numFmtId="0" fontId="21" fillId="0" borderId="0" xfId="31" applyFont="1" applyFill="1" applyBorder="1" applyAlignment="1">
      <alignment vertical="center" wrapText="1"/>
    </xf>
    <xf numFmtId="0" fontId="21" fillId="0" borderId="0" xfId="8" applyFont="1" applyFill="1" applyAlignment="1">
      <alignment vertical="center" wrapText="1"/>
    </xf>
    <xf numFmtId="0" fontId="21" fillId="0" borderId="0" xfId="8" applyFont="1" applyFill="1" applyAlignment="1">
      <alignment vertical="center"/>
    </xf>
    <xf numFmtId="0" fontId="22" fillId="0" borderId="0" xfId="0" applyNumberFormat="1" applyFont="1" applyFill="1" applyBorder="1" applyAlignment="1">
      <alignment horizontal="left" wrapText="1"/>
    </xf>
    <xf numFmtId="49" fontId="15" fillId="0" borderId="84" xfId="0" applyNumberFormat="1" applyFont="1" applyFill="1" applyBorder="1" applyAlignment="1">
      <alignment horizontal="left" vertical="center" wrapText="1"/>
    </xf>
    <xf numFmtId="49" fontId="15" fillId="0" borderId="100" xfId="0" applyNumberFormat="1" applyFont="1" applyFill="1" applyBorder="1" applyAlignment="1">
      <alignment horizontal="left" vertical="center" wrapText="1"/>
    </xf>
    <xf numFmtId="49" fontId="15" fillId="0" borderId="101" xfId="0" applyNumberFormat="1" applyFont="1" applyFill="1" applyBorder="1" applyAlignment="1">
      <alignment horizontal="left" vertical="center" wrapText="1"/>
    </xf>
    <xf numFmtId="49" fontId="15" fillId="0" borderId="98" xfId="0" applyNumberFormat="1" applyFont="1" applyFill="1" applyBorder="1" applyAlignment="1">
      <alignment horizontal="center" vertical="center" wrapText="1"/>
    </xf>
    <xf numFmtId="49" fontId="15" fillId="0" borderId="98" xfId="0" applyNumberFormat="1" applyFont="1" applyFill="1" applyBorder="1" applyAlignment="1">
      <alignment horizontal="center" vertical="center"/>
    </xf>
    <xf numFmtId="17" fontId="7" fillId="0" borderId="103" xfId="0" applyNumberFormat="1" applyFont="1" applyFill="1" applyBorder="1" applyAlignment="1">
      <alignment horizontal="center" vertical="center"/>
    </xf>
    <xf numFmtId="17" fontId="7" fillId="0" borderId="104" xfId="0" applyNumberFormat="1" applyFont="1" applyFill="1" applyBorder="1" applyAlignment="1">
      <alignment horizontal="center" vertical="center"/>
    </xf>
    <xf numFmtId="17" fontId="7" fillId="0" borderId="105" xfId="0" applyNumberFormat="1" applyFont="1" applyFill="1" applyBorder="1" applyAlignment="1">
      <alignment horizontal="center" vertical="center"/>
    </xf>
    <xf numFmtId="49" fontId="7" fillId="0" borderId="79" xfId="0" applyNumberFormat="1" applyFont="1" applyFill="1" applyBorder="1" applyAlignment="1">
      <alignment horizontal="center"/>
    </xf>
    <xf numFmtId="49" fontId="7" fillId="0" borderId="0" xfId="0" applyNumberFormat="1" applyFont="1" applyFill="1" applyBorder="1" applyAlignment="1">
      <alignment horizontal="center"/>
    </xf>
    <xf numFmtId="49" fontId="7" fillId="0" borderId="19" xfId="0" applyNumberFormat="1" applyFont="1" applyFill="1" applyBorder="1" applyAlignment="1">
      <alignment horizontal="center"/>
    </xf>
    <xf numFmtId="0" fontId="8" fillId="2" borderId="0" xfId="8" applyFont="1" applyFill="1" applyBorder="1" applyAlignment="1">
      <alignment horizontal="left" vertical="top" wrapText="1"/>
    </xf>
    <xf numFmtId="0" fontId="8" fillId="2" borderId="0" xfId="8" applyFont="1" applyFill="1" applyBorder="1" applyAlignment="1">
      <alignment horizontal="left" wrapText="1"/>
    </xf>
    <xf numFmtId="0" fontId="2" fillId="0" borderId="0" xfId="8" applyNumberFormat="1" applyFont="1" applyFill="1" applyBorder="1" applyAlignment="1"/>
    <xf numFmtId="49" fontId="8" fillId="2" borderId="0" xfId="8" applyNumberFormat="1" applyFont="1" applyFill="1" applyAlignment="1">
      <alignment horizontal="left" vertical="center" wrapText="1"/>
    </xf>
    <xf numFmtId="192" fontId="22" fillId="3" borderId="0" xfId="61" applyFont="1" applyFill="1" applyAlignment="1">
      <alignment horizontal="left" vertical="top"/>
    </xf>
    <xf numFmtId="0" fontId="31" fillId="3" borderId="79" xfId="61" applyNumberFormat="1" applyFont="1" applyFill="1" applyBorder="1" applyAlignment="1">
      <alignment horizontal="left"/>
    </xf>
    <xf numFmtId="0" fontId="31" fillId="3" borderId="0" xfId="61" applyNumberFormat="1" applyFont="1" applyFill="1" applyAlignment="1">
      <alignment horizontal="left"/>
    </xf>
    <xf numFmtId="0" fontId="13" fillId="3" borderId="27" xfId="61" applyNumberFormat="1" applyFont="1" applyFill="1" applyBorder="1" applyAlignment="1">
      <alignment horizontal="left" vertical="top" wrapText="1"/>
    </xf>
    <xf numFmtId="0" fontId="13" fillId="3" borderId="27" xfId="61" applyNumberFormat="1" applyFont="1" applyFill="1" applyBorder="1" applyAlignment="1">
      <alignment horizontal="left" vertical="top"/>
    </xf>
    <xf numFmtId="0" fontId="15" fillId="3" borderId="31" xfId="61" applyNumberFormat="1" applyFont="1" applyFill="1" applyBorder="1" applyAlignment="1">
      <alignment horizontal="center" vertical="center"/>
    </xf>
    <xf numFmtId="0" fontId="13" fillId="3" borderId="31" xfId="61" applyNumberFormat="1" applyFont="1" applyFill="1" applyBorder="1" applyAlignment="1">
      <alignment horizontal="center" vertical="center"/>
    </xf>
    <xf numFmtId="192" fontId="22" fillId="3" borderId="95" xfId="61" applyFont="1" applyFill="1" applyBorder="1" applyAlignment="1">
      <alignment horizontal="left"/>
    </xf>
    <xf numFmtId="0" fontId="13" fillId="3" borderId="0" xfId="52" applyNumberFormat="1" applyFont="1" applyFill="1" applyAlignment="1">
      <alignment horizontal="left" vertical="top"/>
    </xf>
    <xf numFmtId="49" fontId="7" fillId="2" borderId="74" xfId="20" applyNumberFormat="1" applyFont="1" applyFill="1" applyBorder="1" applyAlignment="1">
      <alignment horizontal="center" vertical="center" wrapText="1"/>
    </xf>
    <xf numFmtId="49" fontId="7" fillId="2" borderId="22" xfId="20" applyNumberFormat="1" applyFont="1" applyFill="1" applyBorder="1" applyAlignment="1">
      <alignment horizontal="center" vertical="center" wrapText="1"/>
    </xf>
    <xf numFmtId="0" fontId="15" fillId="13" borderId="84" xfId="52" applyNumberFormat="1" applyFont="1" applyFill="1" applyBorder="1" applyAlignment="1">
      <alignment horizontal="center" vertical="top"/>
    </xf>
    <xf numFmtId="0" fontId="15" fillId="13" borderId="100" xfId="52" applyNumberFormat="1" applyFont="1" applyFill="1" applyBorder="1" applyAlignment="1">
      <alignment horizontal="center" vertical="top"/>
    </xf>
    <xf numFmtId="0" fontId="15" fillId="13" borderId="101" xfId="52" applyNumberFormat="1" applyFont="1" applyFill="1" applyBorder="1" applyAlignment="1">
      <alignment horizontal="center" vertical="top"/>
    </xf>
    <xf numFmtId="192" fontId="12" fillId="7" borderId="31" xfId="55" applyFont="1" applyFill="1" applyBorder="1" applyAlignment="1">
      <alignment horizontal="center" vertical="center" wrapText="1"/>
    </xf>
    <xf numFmtId="0" fontId="12" fillId="7" borderId="111" xfId="24" applyFont="1" applyFill="1" applyBorder="1" applyAlignment="1">
      <alignment horizontal="center" vertical="center" wrapText="1"/>
    </xf>
    <xf numFmtId="0" fontId="12" fillId="7" borderId="23" xfId="24" applyFont="1" applyFill="1" applyBorder="1" applyAlignment="1">
      <alignment horizontal="center" vertical="center" wrapText="1"/>
    </xf>
    <xf numFmtId="0" fontId="15" fillId="7" borderId="31" xfId="55" applyNumberFormat="1" applyFont="1" applyFill="1" applyBorder="1" applyAlignment="1">
      <alignment horizontal="center" vertical="center" wrapText="1"/>
    </xf>
    <xf numFmtId="0" fontId="12" fillId="7" borderId="84" xfId="24" applyFont="1" applyFill="1" applyBorder="1" applyAlignment="1">
      <alignment horizontal="center" vertical="center"/>
    </xf>
    <xf numFmtId="0" fontId="12" fillId="7" borderId="101" xfId="24" applyFont="1" applyFill="1" applyBorder="1" applyAlignment="1">
      <alignment horizontal="center" vertical="center"/>
    </xf>
    <xf numFmtId="0" fontId="15" fillId="7" borderId="111" xfId="55" applyNumberFormat="1" applyFont="1" applyFill="1" applyBorder="1" applyAlignment="1">
      <alignment horizontal="center" vertical="center" wrapText="1"/>
    </xf>
    <xf numFmtId="0" fontId="15" fillId="7" borderId="23" xfId="55" applyNumberFormat="1" applyFont="1" applyFill="1" applyBorder="1" applyAlignment="1">
      <alignment horizontal="center" vertical="center" wrapText="1"/>
    </xf>
    <xf numFmtId="0" fontId="12" fillId="7" borderId="10" xfId="24" applyFont="1" applyFill="1" applyBorder="1" applyAlignment="1">
      <alignment horizontal="center" vertical="center" wrapText="1"/>
    </xf>
    <xf numFmtId="192" fontId="12" fillId="7" borderId="84" xfId="55" applyFont="1" applyFill="1" applyBorder="1" applyAlignment="1">
      <alignment horizontal="center" vertical="center" wrapText="1"/>
    </xf>
    <xf numFmtId="192" fontId="12" fillId="7" borderId="100" xfId="55" applyFont="1" applyFill="1" applyBorder="1" applyAlignment="1">
      <alignment horizontal="center" vertical="center" wrapText="1"/>
    </xf>
    <xf numFmtId="192" fontId="12" fillId="7" borderId="101" xfId="55" applyFont="1" applyFill="1" applyBorder="1" applyAlignment="1">
      <alignment horizontal="center" vertical="center" wrapText="1"/>
    </xf>
    <xf numFmtId="0" fontId="15" fillId="0" borderId="27" xfId="55" applyNumberFormat="1" applyFont="1" applyBorder="1" applyAlignment="1">
      <alignment horizontal="center"/>
    </xf>
    <xf numFmtId="0" fontId="13" fillId="0" borderId="27" xfId="51" applyNumberFormat="1" applyFont="1" applyBorder="1" applyAlignment="1">
      <alignment horizontal="left" vertical="top" wrapText="1"/>
    </xf>
    <xf numFmtId="0" fontId="13" fillId="0" borderId="27" xfId="51" applyNumberFormat="1" applyFont="1" applyBorder="1" applyAlignment="1">
      <alignment horizontal="left" vertical="top"/>
    </xf>
    <xf numFmtId="0" fontId="13" fillId="3" borderId="31" xfId="55" applyNumberFormat="1" applyFont="1" applyFill="1" applyBorder="1" applyAlignment="1">
      <alignment horizontal="center" vertical="center"/>
    </xf>
    <xf numFmtId="49" fontId="7" fillId="2" borderId="80" xfId="20" applyNumberFormat="1" applyFont="1" applyFill="1" applyBorder="1" applyAlignment="1">
      <alignment horizontal="center" vertical="center" wrapText="1"/>
    </xf>
    <xf numFmtId="49" fontId="7" fillId="2" borderId="22" xfId="20" applyNumberFormat="1" applyFont="1" applyFill="1" applyBorder="1" applyAlignment="1">
      <alignment horizontal="center" vertical="center"/>
    </xf>
    <xf numFmtId="0" fontId="15" fillId="7" borderId="10" xfId="55" applyNumberFormat="1" applyFont="1" applyFill="1" applyBorder="1" applyAlignment="1">
      <alignment horizontal="center" vertical="center" wrapText="1"/>
    </xf>
    <xf numFmtId="0" fontId="15" fillId="7" borderId="99" xfId="55" applyNumberFormat="1" applyFont="1" applyFill="1" applyBorder="1" applyAlignment="1">
      <alignment horizontal="center" vertical="center" wrapText="1"/>
    </xf>
    <xf numFmtId="0" fontId="15" fillId="7" borderId="30" xfId="55" applyNumberFormat="1" applyFont="1" applyFill="1" applyBorder="1" applyAlignment="1">
      <alignment horizontal="center" vertical="center" wrapText="1"/>
    </xf>
    <xf numFmtId="0" fontId="12" fillId="7" borderId="84" xfId="24" applyFont="1" applyFill="1" applyBorder="1" applyAlignment="1">
      <alignment horizontal="center" vertical="center" wrapText="1"/>
    </xf>
    <xf numFmtId="0" fontId="12" fillId="7" borderId="101" xfId="24" applyFont="1" applyFill="1" applyBorder="1" applyAlignment="1">
      <alignment horizontal="center" vertical="center" wrapText="1"/>
    </xf>
    <xf numFmtId="0" fontId="15" fillId="7" borderId="84" xfId="51" applyNumberFormat="1" applyFont="1" applyFill="1" applyBorder="1" applyAlignment="1">
      <alignment horizontal="center" vertical="center" wrapText="1"/>
    </xf>
    <xf numFmtId="0" fontId="15" fillId="7" borderId="101" xfId="51" applyNumberFormat="1" applyFont="1" applyFill="1" applyBorder="1" applyAlignment="1">
      <alignment horizontal="center" vertical="center" wrapText="1"/>
    </xf>
    <xf numFmtId="0" fontId="15" fillId="7" borderId="84" xfId="51" applyNumberFormat="1" applyFont="1" applyFill="1" applyBorder="1" applyAlignment="1">
      <alignment horizontal="center"/>
    </xf>
    <xf numFmtId="0" fontId="15" fillId="7" borderId="100" xfId="51" applyNumberFormat="1" applyFont="1" applyFill="1" applyBorder="1" applyAlignment="1">
      <alignment horizontal="center"/>
    </xf>
    <xf numFmtId="0" fontId="15" fillId="7" borderId="101" xfId="51" applyNumberFormat="1" applyFont="1" applyFill="1" applyBorder="1" applyAlignment="1">
      <alignment horizontal="center"/>
    </xf>
    <xf numFmtId="0" fontId="15" fillId="0" borderId="84" xfId="56" applyNumberFormat="1" applyFont="1" applyBorder="1" applyAlignment="1">
      <alignment horizontal="center"/>
    </xf>
    <xf numFmtId="0" fontId="15" fillId="0" borderId="100" xfId="56" applyNumberFormat="1" applyFont="1" applyBorder="1" applyAlignment="1">
      <alignment horizontal="center"/>
    </xf>
    <xf numFmtId="0" fontId="15" fillId="0" borderId="101" xfId="56" applyNumberFormat="1" applyFont="1" applyBorder="1" applyAlignment="1">
      <alignment horizontal="center"/>
    </xf>
    <xf numFmtId="192" fontId="12" fillId="7" borderId="31" xfId="56" applyFont="1" applyFill="1" applyBorder="1" applyAlignment="1">
      <alignment horizontal="center" vertical="center" wrapText="1"/>
    </xf>
    <xf numFmtId="0" fontId="12" fillId="7" borderId="31" xfId="0" applyFont="1" applyFill="1" applyBorder="1" applyAlignment="1">
      <alignment horizontal="center" vertical="center" wrapText="1"/>
    </xf>
    <xf numFmtId="192" fontId="12" fillId="7" borderId="84" xfId="56" applyFont="1" applyFill="1" applyBorder="1" applyAlignment="1">
      <alignment horizontal="center" vertical="center" wrapText="1"/>
    </xf>
    <xf numFmtId="0" fontId="15" fillId="7" borderId="31" xfId="56" applyNumberFormat="1" applyFont="1" applyFill="1" applyBorder="1" applyAlignment="1">
      <alignment horizontal="center" vertical="center" wrapText="1"/>
    </xf>
    <xf numFmtId="0" fontId="12" fillId="7" borderId="31" xfId="24" applyFont="1" applyFill="1" applyBorder="1" applyAlignment="1">
      <alignment horizontal="center" vertical="center"/>
    </xf>
    <xf numFmtId="0" fontId="13" fillId="3" borderId="31" xfId="56" applyNumberFormat="1" applyFont="1" applyFill="1" applyBorder="1" applyAlignment="1">
      <alignment horizontal="center" vertical="center"/>
    </xf>
    <xf numFmtId="3" fontId="12" fillId="3" borderId="111" xfId="23" applyNumberFormat="1" applyFont="1" applyFill="1" applyBorder="1" applyAlignment="1">
      <alignment horizontal="center" vertical="center" wrapText="1"/>
    </xf>
    <xf numFmtId="3" fontId="12" fillId="3" borderId="23" xfId="23" applyNumberFormat="1" applyFont="1" applyFill="1" applyBorder="1" applyAlignment="1">
      <alignment horizontal="center" vertical="center" wrapText="1"/>
    </xf>
    <xf numFmtId="0" fontId="15" fillId="7" borderId="111" xfId="56" applyNumberFormat="1" applyFont="1" applyFill="1" applyBorder="1" applyAlignment="1">
      <alignment horizontal="center" vertical="center" wrapText="1"/>
    </xf>
    <xf numFmtId="0" fontId="15" fillId="7" borderId="23" xfId="56" applyNumberFormat="1" applyFont="1" applyFill="1" applyBorder="1" applyAlignment="1">
      <alignment horizontal="center" vertical="center" wrapText="1"/>
    </xf>
    <xf numFmtId="0" fontId="15" fillId="7" borderId="84" xfId="56" applyNumberFormat="1" applyFont="1" applyFill="1" applyBorder="1" applyAlignment="1">
      <alignment horizontal="center" vertical="center"/>
    </xf>
    <xf numFmtId="0" fontId="15" fillId="7" borderId="101" xfId="56" applyNumberFormat="1" applyFont="1" applyFill="1" applyBorder="1" applyAlignment="1">
      <alignment horizontal="center" vertical="center"/>
    </xf>
    <xf numFmtId="0" fontId="15" fillId="0" borderId="99" xfId="57" applyNumberFormat="1" applyFont="1" applyBorder="1" applyAlignment="1">
      <alignment horizontal="center"/>
    </xf>
    <xf numFmtId="0" fontId="15" fillId="0" borderId="27" xfId="57" applyNumberFormat="1" applyFont="1" applyBorder="1" applyAlignment="1">
      <alignment horizontal="center"/>
    </xf>
    <xf numFmtId="0" fontId="12" fillId="7" borderId="91" xfId="24" applyFont="1" applyFill="1" applyBorder="1" applyAlignment="1">
      <alignment horizontal="center" vertical="center" wrapText="1"/>
    </xf>
    <xf numFmtId="192" fontId="12" fillId="7" borderId="64" xfId="57" applyFont="1" applyFill="1" applyBorder="1" applyAlignment="1">
      <alignment horizontal="center" vertical="center" wrapText="1"/>
    </xf>
    <xf numFmtId="192" fontId="12" fillId="7" borderId="65" xfId="57" applyFont="1" applyFill="1" applyBorder="1" applyAlignment="1">
      <alignment horizontal="center" vertical="center" wrapText="1"/>
    </xf>
    <xf numFmtId="192" fontId="12" fillId="7" borderId="66" xfId="57" applyFont="1" applyFill="1" applyBorder="1" applyAlignment="1">
      <alignment horizontal="center" vertical="center" wrapText="1"/>
    </xf>
    <xf numFmtId="0" fontId="12" fillId="7" borderId="64" xfId="24" applyFont="1" applyFill="1" applyBorder="1" applyAlignment="1">
      <alignment horizontal="center" vertical="center"/>
    </xf>
    <xf numFmtId="0" fontId="12" fillId="7" borderId="66" xfId="24" applyFont="1" applyFill="1" applyBorder="1" applyAlignment="1">
      <alignment horizontal="center" vertical="center"/>
    </xf>
    <xf numFmtId="0" fontId="15" fillId="7" borderId="91" xfId="57" applyNumberFormat="1" applyFont="1" applyFill="1" applyBorder="1" applyAlignment="1">
      <alignment horizontal="center" vertical="center" wrapText="1"/>
    </xf>
    <xf numFmtId="0" fontId="15" fillId="7" borderId="23" xfId="57" applyNumberFormat="1" applyFont="1" applyFill="1" applyBorder="1" applyAlignment="1">
      <alignment horizontal="center" vertical="center" wrapText="1"/>
    </xf>
    <xf numFmtId="0" fontId="13" fillId="3" borderId="100" xfId="57" applyNumberFormat="1" applyFont="1" applyFill="1" applyBorder="1" applyAlignment="1">
      <alignment horizontal="center" vertical="center"/>
    </xf>
    <xf numFmtId="0" fontId="15" fillId="7" borderId="31" xfId="57" applyNumberFormat="1" applyFont="1" applyFill="1" applyBorder="1" applyAlignment="1">
      <alignment horizontal="center" vertical="center" wrapText="1"/>
    </xf>
    <xf numFmtId="0" fontId="15" fillId="7" borderId="111" xfId="57" applyNumberFormat="1" applyFont="1" applyFill="1" applyBorder="1" applyAlignment="1">
      <alignment horizontal="center" vertical="center" wrapText="1"/>
    </xf>
    <xf numFmtId="0" fontId="15" fillId="7" borderId="84" xfId="57" applyNumberFormat="1" applyFont="1" applyFill="1" applyBorder="1" applyAlignment="1">
      <alignment horizontal="center" vertical="center" wrapText="1"/>
    </xf>
    <xf numFmtId="0" fontId="15" fillId="7" borderId="101" xfId="57" applyNumberFormat="1" applyFont="1" applyFill="1" applyBorder="1" applyAlignment="1">
      <alignment horizontal="center" vertical="center" wrapText="1"/>
    </xf>
    <xf numFmtId="169" fontId="8" fillId="0" borderId="0" xfId="58" applyNumberFormat="1" applyFont="1" applyBorder="1" applyAlignment="1">
      <alignment horizontal="left" vertical="top"/>
    </xf>
    <xf numFmtId="192" fontId="15" fillId="3" borderId="84" xfId="58" applyFont="1" applyFill="1" applyBorder="1" applyAlignment="1">
      <alignment horizontal="center"/>
    </xf>
    <xf numFmtId="192" fontId="15" fillId="3" borderId="100" xfId="58" applyFont="1" applyFill="1" applyBorder="1" applyAlignment="1">
      <alignment horizontal="center"/>
    </xf>
    <xf numFmtId="192" fontId="15" fillId="3" borderId="115" xfId="58" applyFont="1" applyFill="1" applyBorder="1" applyAlignment="1">
      <alignment horizontal="center"/>
    </xf>
    <xf numFmtId="192" fontId="15" fillId="3" borderId="116" xfId="58" applyFont="1" applyFill="1" applyBorder="1" applyAlignment="1">
      <alignment horizontal="center"/>
    </xf>
    <xf numFmtId="192" fontId="15" fillId="0" borderId="119" xfId="58" applyFont="1" applyBorder="1" applyAlignment="1">
      <alignment horizontal="center"/>
    </xf>
    <xf numFmtId="192" fontId="15" fillId="0" borderId="120" xfId="58" applyFont="1" applyBorder="1" applyAlignment="1">
      <alignment horizontal="center"/>
    </xf>
    <xf numFmtId="192" fontId="15" fillId="0" borderId="123" xfId="58" applyFont="1" applyBorder="1" applyAlignment="1">
      <alignment horizontal="center"/>
    </xf>
    <xf numFmtId="192" fontId="15" fillId="0" borderId="124" xfId="58" applyFont="1" applyBorder="1" applyAlignment="1">
      <alignment horizontal="center"/>
    </xf>
    <xf numFmtId="169" fontId="8" fillId="0" borderId="0" xfId="58" applyNumberFormat="1" applyFont="1" applyBorder="1" applyAlignment="1">
      <alignment horizontal="left" vertical="top" wrapText="1"/>
    </xf>
    <xf numFmtId="169" fontId="8" fillId="0" borderId="0" xfId="58" applyNumberFormat="1" applyFont="1" applyBorder="1" applyAlignment="1">
      <alignment horizontal="left" vertical="center" wrapText="1"/>
    </xf>
    <xf numFmtId="194" fontId="11" fillId="0" borderId="130" xfId="0" applyNumberFormat="1" applyFont="1" applyBorder="1" applyAlignment="1">
      <alignment horizontal="center" vertical="center" wrapText="1"/>
    </xf>
    <xf numFmtId="194" fontId="11" fillId="0" borderId="10" xfId="0" applyNumberFormat="1" applyFont="1" applyBorder="1" applyAlignment="1">
      <alignment horizontal="center" vertical="center" wrapText="1"/>
    </xf>
    <xf numFmtId="194" fontId="11" fillId="0" borderId="23" xfId="0" applyNumberFormat="1" applyFont="1" applyBorder="1" applyAlignment="1">
      <alignment horizontal="center" vertical="center" wrapText="1"/>
    </xf>
    <xf numFmtId="0" fontId="11" fillId="0" borderId="130" xfId="0" applyFont="1" applyBorder="1" applyAlignment="1">
      <alignment horizontal="center" vertical="center" wrapText="1"/>
    </xf>
    <xf numFmtId="0" fontId="11" fillId="0" borderId="10" xfId="0" applyFont="1" applyBorder="1" applyAlignment="1">
      <alignment horizontal="center" vertical="center" wrapText="1"/>
    </xf>
    <xf numFmtId="0" fontId="11" fillId="0" borderId="23" xfId="0" applyFont="1" applyBorder="1" applyAlignment="1">
      <alignment horizontal="center" vertical="center" wrapText="1"/>
    </xf>
    <xf numFmtId="0" fontId="15" fillId="7" borderId="130" xfId="0" applyNumberFormat="1" applyFont="1" applyFill="1" applyBorder="1" applyAlignment="1">
      <alignment horizontal="center" vertical="center" wrapText="1"/>
    </xf>
    <xf numFmtId="0" fontId="15" fillId="7" borderId="23" xfId="0" applyNumberFormat="1" applyFont="1" applyFill="1" applyBorder="1" applyAlignment="1">
      <alignment horizontal="center" vertical="center" wrapText="1"/>
    </xf>
    <xf numFmtId="0" fontId="15" fillId="7" borderId="31" xfId="0" applyNumberFormat="1" applyFont="1" applyFill="1" applyBorder="1" applyAlignment="1">
      <alignment horizontal="center" vertical="center" wrapText="1"/>
    </xf>
    <xf numFmtId="0" fontId="12" fillId="7" borderId="31" xfId="0" applyNumberFormat="1" applyFont="1" applyFill="1" applyBorder="1" applyAlignment="1">
      <alignment horizontal="center" vertical="center" wrapText="1"/>
    </xf>
    <xf numFmtId="0" fontId="58" fillId="7" borderId="130" xfId="0" applyNumberFormat="1" applyFont="1" applyFill="1" applyBorder="1" applyAlignment="1">
      <alignment horizontal="center" vertical="center" wrapText="1"/>
    </xf>
    <xf numFmtId="0" fontId="58" fillId="7" borderId="23" xfId="0" applyNumberFormat="1" applyFont="1" applyFill="1" applyBorder="1" applyAlignment="1">
      <alignment horizontal="center" vertical="center" wrapText="1"/>
    </xf>
    <xf numFmtId="0" fontId="15" fillId="7" borderId="127" xfId="0" applyNumberFormat="1" applyFont="1" applyFill="1" applyBorder="1" applyAlignment="1">
      <alignment horizontal="center" vertical="center" wrapText="1"/>
    </xf>
    <xf numFmtId="0" fontId="15" fillId="7" borderId="128" xfId="0" applyNumberFormat="1" applyFont="1" applyFill="1" applyBorder="1" applyAlignment="1">
      <alignment horizontal="center" vertical="center" wrapText="1"/>
    </xf>
    <xf numFmtId="0" fontId="15" fillId="7" borderId="129" xfId="0" applyNumberFormat="1" applyFont="1" applyFill="1" applyBorder="1" applyAlignment="1">
      <alignment horizontal="center" vertical="center" wrapText="1"/>
    </xf>
    <xf numFmtId="192" fontId="11" fillId="0" borderId="10" xfId="60" applyFont="1" applyBorder="1" applyAlignment="1">
      <alignment horizontal="center" vertical="center" wrapText="1"/>
    </xf>
    <xf numFmtId="192" fontId="11" fillId="0" borderId="23" xfId="60" applyFont="1" applyBorder="1" applyAlignment="1">
      <alignment horizontal="center" vertical="center" wrapText="1"/>
    </xf>
    <xf numFmtId="194" fontId="11" fillId="0" borderId="130" xfId="60" applyNumberFormat="1" applyFont="1" applyBorder="1" applyAlignment="1">
      <alignment horizontal="center" vertical="center" wrapText="1"/>
    </xf>
    <xf numFmtId="194" fontId="11" fillId="0" borderId="23" xfId="60" applyNumberFormat="1" applyFont="1" applyBorder="1" applyAlignment="1">
      <alignment horizontal="center" vertical="center" wrapText="1"/>
    </xf>
    <xf numFmtId="194" fontId="11" fillId="0" borderId="10" xfId="60" applyNumberFormat="1" applyFont="1" applyBorder="1" applyAlignment="1">
      <alignment horizontal="center" vertical="center" wrapText="1"/>
    </xf>
    <xf numFmtId="192" fontId="11" fillId="0" borderId="130" xfId="60" applyFont="1" applyBorder="1" applyAlignment="1">
      <alignment horizontal="center" vertical="center" wrapText="1"/>
    </xf>
    <xf numFmtId="192" fontId="15" fillId="0" borderId="27" xfId="60" applyFont="1" applyBorder="1" applyAlignment="1">
      <alignment horizontal="left" vertical="center"/>
    </xf>
    <xf numFmtId="0" fontId="15" fillId="7" borderId="31" xfId="60" applyNumberFormat="1" applyFont="1" applyFill="1" applyBorder="1" applyAlignment="1">
      <alignment horizontal="center" vertical="center" wrapText="1"/>
    </xf>
    <xf numFmtId="0" fontId="15" fillId="7" borderId="130" xfId="60" applyNumberFormat="1" applyFont="1" applyFill="1" applyBorder="1" applyAlignment="1">
      <alignment horizontal="center" vertical="center" wrapText="1"/>
    </xf>
    <xf numFmtId="0" fontId="15" fillId="7" borderId="23" xfId="60" applyNumberFormat="1" applyFont="1" applyFill="1" applyBorder="1" applyAlignment="1">
      <alignment horizontal="center" vertical="center" wrapText="1"/>
    </xf>
    <xf numFmtId="0" fontId="15" fillId="7" borderId="127" xfId="60" applyNumberFormat="1" applyFont="1" applyFill="1" applyBorder="1" applyAlignment="1">
      <alignment horizontal="center" vertical="center" wrapText="1"/>
    </xf>
    <xf numFmtId="0" fontId="15" fillId="7" borderId="128" xfId="60" applyNumberFormat="1" applyFont="1" applyFill="1" applyBorder="1" applyAlignment="1">
      <alignment horizontal="center" vertical="center" wrapText="1"/>
    </xf>
    <xf numFmtId="0" fontId="15" fillId="7" borderId="129" xfId="60" applyNumberFormat="1" applyFont="1" applyFill="1" applyBorder="1" applyAlignment="1">
      <alignment horizontal="center" vertical="center" wrapText="1"/>
    </xf>
    <xf numFmtId="192" fontId="69" fillId="3" borderId="130" xfId="61" applyFont="1" applyFill="1" applyBorder="1" applyAlignment="1">
      <alignment horizontal="center" vertical="center" wrapText="1"/>
    </xf>
    <xf numFmtId="192" fontId="69" fillId="3" borderId="23" xfId="61" applyFont="1" applyFill="1" applyBorder="1" applyAlignment="1">
      <alignment horizontal="center" vertical="center"/>
    </xf>
    <xf numFmtId="192" fontId="69" fillId="3" borderId="10" xfId="61" applyFont="1" applyFill="1" applyBorder="1" applyAlignment="1">
      <alignment horizontal="center" vertical="center" wrapText="1"/>
    </xf>
    <xf numFmtId="192" fontId="69" fillId="3" borderId="23" xfId="61" applyFont="1" applyFill="1" applyBorder="1" applyAlignment="1">
      <alignment horizontal="center" vertical="center" wrapText="1"/>
    </xf>
    <xf numFmtId="192" fontId="69" fillId="3" borderId="130" xfId="61" applyFont="1" applyFill="1" applyBorder="1" applyAlignment="1">
      <alignment horizontal="center" vertical="center"/>
    </xf>
    <xf numFmtId="192" fontId="69" fillId="3" borderId="10" xfId="61" applyFont="1" applyFill="1" applyBorder="1" applyAlignment="1">
      <alignment horizontal="center" vertical="center"/>
    </xf>
    <xf numFmtId="0" fontId="13" fillId="3" borderId="27" xfId="0" applyFont="1" applyFill="1" applyBorder="1" applyAlignment="1">
      <alignment horizontal="left" vertical="top"/>
    </xf>
    <xf numFmtId="0" fontId="31" fillId="7" borderId="31" xfId="61" applyNumberFormat="1" applyFont="1" applyFill="1" applyBorder="1" applyAlignment="1">
      <alignment horizontal="center" vertical="center" wrapText="1"/>
    </xf>
    <xf numFmtId="0" fontId="31" fillId="7" borderId="130" xfId="61" applyNumberFormat="1" applyFont="1" applyFill="1" applyBorder="1" applyAlignment="1">
      <alignment horizontal="center" vertical="center" wrapText="1"/>
    </xf>
    <xf numFmtId="0" fontId="31" fillId="7" borderId="23" xfId="61" applyNumberFormat="1" applyFont="1" applyFill="1" applyBorder="1" applyAlignment="1">
      <alignment horizontal="center" vertical="center" wrapText="1"/>
    </xf>
    <xf numFmtId="0" fontId="31" fillId="7" borderId="127" xfId="61" applyNumberFormat="1" applyFont="1" applyFill="1" applyBorder="1" applyAlignment="1">
      <alignment horizontal="center" vertical="center" wrapText="1"/>
    </xf>
    <xf numFmtId="0" fontId="31" fillId="7" borderId="128" xfId="61" applyNumberFormat="1" applyFont="1" applyFill="1" applyBorder="1" applyAlignment="1">
      <alignment horizontal="center" vertical="center" wrapText="1"/>
    </xf>
    <xf numFmtId="0" fontId="31" fillId="7" borderId="129" xfId="61" applyNumberFormat="1" applyFont="1" applyFill="1" applyBorder="1" applyAlignment="1">
      <alignment horizontal="center" vertical="center" wrapText="1"/>
    </xf>
  </cellXfs>
  <cellStyles count="67">
    <cellStyle name="Comma" xfId="1" builtinId="3"/>
    <cellStyle name="Comma 10 5" xfId="13"/>
    <cellStyle name="Comma 11" xfId="50"/>
    <cellStyle name="Comma 11 2" xfId="36"/>
    <cellStyle name="Comma 11 2 2" xfId="47"/>
    <cellStyle name="Comma 16" xfId="32"/>
    <cellStyle name="Comma 16 2" xfId="33"/>
    <cellStyle name="Comma 16 2 2" xfId="45"/>
    <cellStyle name="Comma 18" xfId="29"/>
    <cellStyle name="Comma 18 2" xfId="43"/>
    <cellStyle name="Comma 2" xfId="11"/>
    <cellStyle name="Comma 2 124" xfId="7"/>
    <cellStyle name="Comma 2 124 2" xfId="28"/>
    <cellStyle name="Comma 2 124 2 2" xfId="42"/>
    <cellStyle name="Comma 2 124 3" xfId="38"/>
    <cellStyle name="Comma 2 2" xfId="39"/>
    <cellStyle name="Comma 2 23" xfId="65"/>
    <cellStyle name="Comma 2 3 86" xfId="26"/>
    <cellStyle name="Comma 2 3 86 2" xfId="41"/>
    <cellStyle name="Comma 2 4" xfId="30"/>
    <cellStyle name="Comma 2 4 2" xfId="44"/>
    <cellStyle name="Comma 3" xfId="25"/>
    <cellStyle name="Comma 3 101" xfId="27"/>
    <cellStyle name="Comma 3 2" xfId="34"/>
    <cellStyle name="Comma 3 2 2" xfId="46"/>
    <cellStyle name="Comma 4" xfId="37"/>
    <cellStyle name="Comma 7" xfId="17"/>
    <cellStyle name="Comma 7 2" xfId="40"/>
    <cellStyle name="Hyperlink" xfId="35" builtinId="8"/>
    <cellStyle name="Indian Comma" xfId="23"/>
    <cellStyle name="Normal" xfId="0" builtinId="0"/>
    <cellStyle name="Normal 11" xfId="4"/>
    <cellStyle name="Normal 11 2" xfId="16"/>
    <cellStyle name="Normal 12 3 3" xfId="8"/>
    <cellStyle name="Normal 12 3 3 2" xfId="20"/>
    <cellStyle name="Normal 2" xfId="12"/>
    <cellStyle name="Normal 2 10" xfId="49"/>
    <cellStyle name="Normal 2 134" xfId="19"/>
    <cellStyle name="Normal 2 134 10" xfId="61"/>
    <cellStyle name="Normal 2 134 2" xfId="52"/>
    <cellStyle name="Normal 2 134 3" xfId="55"/>
    <cellStyle name="Normal 2 134 4" xfId="51"/>
    <cellStyle name="Normal 2 134 5" xfId="56"/>
    <cellStyle name="Normal 2 134 6" xfId="57"/>
    <cellStyle name="Normal 2 134 7" xfId="58"/>
    <cellStyle name="Normal 2 134 8" xfId="59"/>
    <cellStyle name="Normal 2 134 9" xfId="60"/>
    <cellStyle name="Normal 2 16 2" xfId="64"/>
    <cellStyle name="Normal 2 17" xfId="63"/>
    <cellStyle name="Normal 2 18 2" xfId="9"/>
    <cellStyle name="Normal 2 2" xfId="6"/>
    <cellStyle name="Normal 23 2" xfId="18"/>
    <cellStyle name="Normal 3" xfId="14"/>
    <cellStyle name="Normal 3 144" xfId="24"/>
    <cellStyle name="Normal 30" xfId="48"/>
    <cellStyle name="Normal 34 2" xfId="15"/>
    <cellStyle name="Normal 4" xfId="5"/>
    <cellStyle name="Normal 41" xfId="3"/>
    <cellStyle name="Normal 5 10" xfId="22"/>
    <cellStyle name="Normal 5 10 2" xfId="54"/>
    <cellStyle name="Normal 7" xfId="31"/>
    <cellStyle name="Normal 8" xfId="21"/>
    <cellStyle name="Normal 8 2" xfId="53"/>
    <cellStyle name="Normal_tables-oct 4" xfId="66"/>
    <cellStyle name="Percent" xfId="2" builtinId="5"/>
    <cellStyle name="Percent 2" xfId="10"/>
    <cellStyle name="Percent 3" xfId="62"/>
  </cellStyles>
  <dxfs count="4">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26" Type="http://schemas.openxmlformats.org/officeDocument/2006/relationships/worksheet" Target="worksheets/sheet26.xml"/><Relationship Id="rId21" Type="http://schemas.openxmlformats.org/officeDocument/2006/relationships/worksheet" Target="worksheets/sheet21.xml"/><Relationship Id="rId42" Type="http://schemas.openxmlformats.org/officeDocument/2006/relationships/worksheet" Target="worksheets/sheet42.xml"/><Relationship Id="rId47" Type="http://schemas.openxmlformats.org/officeDocument/2006/relationships/worksheet" Target="worksheets/sheet47.xml"/><Relationship Id="rId63" Type="http://schemas.openxmlformats.org/officeDocument/2006/relationships/worksheet" Target="worksheets/sheet63.xml"/><Relationship Id="rId68" Type="http://schemas.openxmlformats.org/officeDocument/2006/relationships/worksheet" Target="worksheets/sheet68.xml"/><Relationship Id="rId84" Type="http://schemas.openxmlformats.org/officeDocument/2006/relationships/sharedStrings" Target="sharedStrings.xml"/><Relationship Id="rId16" Type="http://schemas.openxmlformats.org/officeDocument/2006/relationships/worksheet" Target="worksheets/sheet16.xml"/><Relationship Id="rId11" Type="http://schemas.openxmlformats.org/officeDocument/2006/relationships/worksheet" Target="worksheets/sheet11.xml"/><Relationship Id="rId32" Type="http://schemas.openxmlformats.org/officeDocument/2006/relationships/worksheet" Target="worksheets/sheet32.xml"/><Relationship Id="rId37" Type="http://schemas.openxmlformats.org/officeDocument/2006/relationships/worksheet" Target="worksheets/sheet37.xml"/><Relationship Id="rId53" Type="http://schemas.openxmlformats.org/officeDocument/2006/relationships/worksheet" Target="worksheets/sheet53.xml"/><Relationship Id="rId58" Type="http://schemas.openxmlformats.org/officeDocument/2006/relationships/worksheet" Target="worksheets/sheet58.xml"/><Relationship Id="rId74" Type="http://schemas.openxmlformats.org/officeDocument/2006/relationships/worksheet" Target="worksheets/sheet74.xml"/><Relationship Id="rId79" Type="http://schemas.openxmlformats.org/officeDocument/2006/relationships/externalLink" Target="externalLinks/externalLink4.xml"/><Relationship Id="rId5" Type="http://schemas.openxmlformats.org/officeDocument/2006/relationships/worksheet" Target="worksheets/sheet5.xml"/><Relationship Id="rId19" Type="http://schemas.openxmlformats.org/officeDocument/2006/relationships/worksheet" Target="worksheets/sheet1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worksheet" Target="worksheets/sheet48.xml"/><Relationship Id="rId56" Type="http://schemas.openxmlformats.org/officeDocument/2006/relationships/worksheet" Target="worksheets/sheet56.xml"/><Relationship Id="rId64" Type="http://schemas.openxmlformats.org/officeDocument/2006/relationships/worksheet" Target="worksheets/sheet64.xml"/><Relationship Id="rId69" Type="http://schemas.openxmlformats.org/officeDocument/2006/relationships/worksheet" Target="worksheets/sheet69.xml"/><Relationship Id="rId77" Type="http://schemas.openxmlformats.org/officeDocument/2006/relationships/externalLink" Target="externalLinks/externalLink2.xml"/><Relationship Id="rId8" Type="http://schemas.openxmlformats.org/officeDocument/2006/relationships/worksheet" Target="worksheets/sheet8.xml"/><Relationship Id="rId51" Type="http://schemas.openxmlformats.org/officeDocument/2006/relationships/worksheet" Target="worksheets/sheet51.xml"/><Relationship Id="rId72" Type="http://schemas.openxmlformats.org/officeDocument/2006/relationships/worksheet" Target="worksheets/sheet72.xml"/><Relationship Id="rId80" Type="http://schemas.openxmlformats.org/officeDocument/2006/relationships/externalLink" Target="externalLinks/externalLink5.xml"/><Relationship Id="rId85" Type="http://schemas.openxmlformats.org/officeDocument/2006/relationships/calcChain" Target="calcChain.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59" Type="http://schemas.openxmlformats.org/officeDocument/2006/relationships/worksheet" Target="worksheets/sheet59.xml"/><Relationship Id="rId67" Type="http://schemas.openxmlformats.org/officeDocument/2006/relationships/worksheet" Target="worksheets/sheet67.xml"/><Relationship Id="rId20" Type="http://schemas.openxmlformats.org/officeDocument/2006/relationships/worksheet" Target="worksheets/sheet20.xml"/><Relationship Id="rId41" Type="http://schemas.openxmlformats.org/officeDocument/2006/relationships/worksheet" Target="worksheets/sheet41.xml"/><Relationship Id="rId54" Type="http://schemas.openxmlformats.org/officeDocument/2006/relationships/worksheet" Target="worksheets/sheet54.xml"/><Relationship Id="rId62" Type="http://schemas.openxmlformats.org/officeDocument/2006/relationships/worksheet" Target="worksheets/sheet62.xml"/><Relationship Id="rId70" Type="http://schemas.openxmlformats.org/officeDocument/2006/relationships/worksheet" Target="worksheets/sheet70.xml"/><Relationship Id="rId75" Type="http://schemas.openxmlformats.org/officeDocument/2006/relationships/worksheet" Target="worksheets/sheet75.xml"/><Relationship Id="rId83"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worksheet" Target="worksheets/sheet49.xml"/><Relationship Id="rId57" Type="http://schemas.openxmlformats.org/officeDocument/2006/relationships/worksheet" Target="worksheets/sheet57.xml"/><Relationship Id="rId10" Type="http://schemas.openxmlformats.org/officeDocument/2006/relationships/worksheet" Target="worksheets/sheet10.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worksheet" Target="worksheets/sheet52.xml"/><Relationship Id="rId60" Type="http://schemas.openxmlformats.org/officeDocument/2006/relationships/worksheet" Target="worksheets/sheet60.xml"/><Relationship Id="rId65" Type="http://schemas.openxmlformats.org/officeDocument/2006/relationships/worksheet" Target="worksheets/sheet65.xml"/><Relationship Id="rId73" Type="http://schemas.openxmlformats.org/officeDocument/2006/relationships/worksheet" Target="worksheets/sheet73.xml"/><Relationship Id="rId78" Type="http://schemas.openxmlformats.org/officeDocument/2006/relationships/externalLink" Target="externalLinks/externalLink3.xml"/><Relationship Id="rId81" Type="http://schemas.openxmlformats.org/officeDocument/2006/relationships/externalLink" Target="externalLinks/externalLink6.xml"/><Relationship Id="rId86"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worksheet" Target="worksheets/sheet9.xml"/><Relationship Id="rId13" Type="http://schemas.openxmlformats.org/officeDocument/2006/relationships/worksheet" Target="worksheets/sheet13.xml"/><Relationship Id="rId18" Type="http://schemas.openxmlformats.org/officeDocument/2006/relationships/worksheet" Target="worksheets/sheet18.xml"/><Relationship Id="rId39" Type="http://schemas.openxmlformats.org/officeDocument/2006/relationships/worksheet" Target="worksheets/sheet39.xml"/><Relationship Id="rId34" Type="http://schemas.openxmlformats.org/officeDocument/2006/relationships/worksheet" Target="worksheets/sheet34.xml"/><Relationship Id="rId50" Type="http://schemas.openxmlformats.org/officeDocument/2006/relationships/worksheet" Target="worksheets/sheet50.xml"/><Relationship Id="rId55" Type="http://schemas.openxmlformats.org/officeDocument/2006/relationships/worksheet" Target="worksheets/sheet55.xml"/><Relationship Id="rId76" Type="http://schemas.openxmlformats.org/officeDocument/2006/relationships/externalLink" Target="externalLinks/externalLink1.xml"/><Relationship Id="rId7" Type="http://schemas.openxmlformats.org/officeDocument/2006/relationships/worksheet" Target="worksheets/sheet7.xml"/><Relationship Id="rId71" Type="http://schemas.openxmlformats.org/officeDocument/2006/relationships/worksheet" Target="worksheets/sheet71.xml"/><Relationship Id="rId2" Type="http://schemas.openxmlformats.org/officeDocument/2006/relationships/worksheet" Target="worksheets/sheet2.xml"/><Relationship Id="rId29" Type="http://schemas.openxmlformats.org/officeDocument/2006/relationships/worksheet" Target="worksheets/sheet29.xml"/><Relationship Id="rId24" Type="http://schemas.openxmlformats.org/officeDocument/2006/relationships/worksheet" Target="worksheets/sheet24.xml"/><Relationship Id="rId40" Type="http://schemas.openxmlformats.org/officeDocument/2006/relationships/worksheet" Target="worksheets/sheet40.xml"/><Relationship Id="rId45" Type="http://schemas.openxmlformats.org/officeDocument/2006/relationships/worksheet" Target="worksheets/sheet45.xml"/><Relationship Id="rId66" Type="http://schemas.openxmlformats.org/officeDocument/2006/relationships/worksheet" Target="worksheets/sheet66.xml"/><Relationship Id="rId61" Type="http://schemas.openxmlformats.org/officeDocument/2006/relationships/worksheet" Target="worksheets/sheet61.xml"/><Relationship Id="rId82"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E:\Documents\Monthly%20bulltein\02%20Secondary%20market\Workbook%20of%20CMR%20Sep%202024_Kavita.xlsm"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https://d.docs.live.net/vimal%20backup/SEBI%20WORK%203-%20DEPA1/2021-22%20DEPA1/Bulletin%20-GMR/2021%2009%20GMR/2021%2009%20GMR.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E:\vimal%20backup\SEBI%20WORK%203-%20DEPA1\2021-22%20DEPA1\Bulletin%20-GMR\2021%2009%20GMR\2021%2009%20GMR.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https://d.docs.live.net/Users/Administrator/Desktop/Kshitij/Global%20Review%20Bloomberg%20-%20K%201711.xlsx"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E:\Users\Administrator\Desktop\Kshitij\Global%20Review%20Bloomberg%20-%20K%201711.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E:\Documents\Monthly%20bulltein\04%20Commodities%20derivative\Bulletin%20commodity%20new%20template.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5"/>
      <sheetName val="34"/>
      <sheetName val="Snapshot"/>
      <sheetName val="EquiDer"/>
      <sheetName val="Indices"/>
      <sheetName val="ADT"/>
      <sheetName val="ADNT"/>
      <sheetName val="CD"/>
      <sheetName val="IRD"/>
      <sheetName val="Demat"/>
      <sheetName val="CorpDebt"/>
      <sheetName val="Rtn, Volt"/>
    </sheetNames>
    <sheetDataSet>
      <sheetData sheetId="0"/>
      <sheetData sheetId="1"/>
      <sheetData sheetId="2">
        <row r="21">
          <cell r="BW21">
            <v>151317.94</v>
          </cell>
        </row>
      </sheetData>
      <sheetData sheetId="3"/>
      <sheetData sheetId="4">
        <row r="1">
          <cell r="F1" t="str">
            <v xml:space="preserve"> NSE  </v>
          </cell>
        </row>
        <row r="2">
          <cell r="E2">
            <v>44985</v>
          </cell>
          <cell r="F2">
            <v>100</v>
          </cell>
          <cell r="G2">
            <v>100</v>
          </cell>
        </row>
        <row r="3">
          <cell r="E3">
            <v>44986</v>
          </cell>
          <cell r="F3">
            <v>100.84922806642413</v>
          </cell>
          <cell r="G3">
            <v>100.76143802156368</v>
          </cell>
        </row>
        <row r="4">
          <cell r="E4">
            <v>44987</v>
          </cell>
          <cell r="F4">
            <v>100.10373354060778</v>
          </cell>
          <cell r="G4">
            <v>99.910501861194945</v>
          </cell>
        </row>
        <row r="5">
          <cell r="E5">
            <v>44988</v>
          </cell>
          <cell r="F5">
            <v>101.67822953718657</v>
          </cell>
          <cell r="G5">
            <v>101.43626111137117</v>
          </cell>
        </row>
        <row r="6">
          <cell r="E6">
            <v>44991</v>
          </cell>
          <cell r="F6">
            <v>102.35495363775323</v>
          </cell>
          <cell r="G6">
            <v>102.14093387415512</v>
          </cell>
        </row>
        <row r="7">
          <cell r="E7">
            <v>44993</v>
          </cell>
          <cell r="F7">
            <v>102.60316286165876</v>
          </cell>
          <cell r="G7">
            <v>102.35061086677342</v>
          </cell>
        </row>
        <row r="8">
          <cell r="E8">
            <v>44994</v>
          </cell>
          <cell r="F8">
            <v>101.65077915736001</v>
          </cell>
          <cell r="G8">
            <v>101.43169886021735</v>
          </cell>
        </row>
        <row r="9">
          <cell r="E9">
            <v>44995</v>
          </cell>
          <cell r="F9">
            <v>100.62962502781157</v>
          </cell>
          <cell r="G9">
            <v>100.29342567736708</v>
          </cell>
        </row>
        <row r="10">
          <cell r="E10">
            <v>44998</v>
          </cell>
          <cell r="F10">
            <v>99.135168559779686</v>
          </cell>
          <cell r="G10">
            <v>98.771635076893432</v>
          </cell>
        </row>
        <row r="11">
          <cell r="E11">
            <v>44999</v>
          </cell>
          <cell r="F11">
            <v>98.493696525937708</v>
          </cell>
          <cell r="G11">
            <v>98.198962316823071</v>
          </cell>
        </row>
        <row r="12">
          <cell r="E12">
            <v>45000</v>
          </cell>
          <cell r="F12">
            <v>98.082518731272344</v>
          </cell>
          <cell r="G12">
            <v>97.615045049262136</v>
          </cell>
        </row>
        <row r="13">
          <cell r="E13">
            <v>45001</v>
          </cell>
          <cell r="F13">
            <v>98.160246648886513</v>
          </cell>
          <cell r="G13">
            <v>97.748927616578229</v>
          </cell>
        </row>
        <row r="14">
          <cell r="E14">
            <v>45002</v>
          </cell>
          <cell r="F14">
            <v>98.821656327023589</v>
          </cell>
          <cell r="G14">
            <v>98.351110848795798</v>
          </cell>
        </row>
        <row r="15">
          <cell r="E15">
            <v>45005</v>
          </cell>
          <cell r="F15">
            <v>98.176427925415879</v>
          </cell>
          <cell r="G15">
            <v>97.738938152155981</v>
          </cell>
        </row>
        <row r="16">
          <cell r="E16">
            <v>45006</v>
          </cell>
          <cell r="F16">
            <v>98.864710080646333</v>
          </cell>
          <cell r="G16">
            <v>98.49489808032682</v>
          </cell>
        </row>
        <row r="17">
          <cell r="E17">
            <v>45007</v>
          </cell>
          <cell r="F17">
            <v>99.121298894183141</v>
          </cell>
          <cell r="G17">
            <v>98.732186020448367</v>
          </cell>
        </row>
        <row r="18">
          <cell r="E18">
            <v>45008</v>
          </cell>
          <cell r="F18">
            <v>98.687871844289901</v>
          </cell>
          <cell r="G18">
            <v>98.241515060856003</v>
          </cell>
        </row>
        <row r="19">
          <cell r="E19">
            <v>45009</v>
          </cell>
          <cell r="F19">
            <v>97.925907090577581</v>
          </cell>
          <cell r="G19">
            <v>97.566200129846067</v>
          </cell>
        </row>
        <row r="20">
          <cell r="E20">
            <v>45012</v>
          </cell>
          <cell r="F20">
            <v>98.160824551619726</v>
          </cell>
          <cell r="G20">
            <v>97.781185615442581</v>
          </cell>
        </row>
        <row r="21">
          <cell r="E21">
            <v>45013</v>
          </cell>
          <cell r="F21">
            <v>97.964337622334796</v>
          </cell>
          <cell r="G21">
            <v>97.713108009006447</v>
          </cell>
        </row>
        <row r="22">
          <cell r="E22">
            <v>45014</v>
          </cell>
          <cell r="F22">
            <v>98.70983214815115</v>
          </cell>
          <cell r="G22">
            <v>98.300552965191869</v>
          </cell>
        </row>
        <row r="23">
          <cell r="E23">
            <v>45016</v>
          </cell>
          <cell r="F23">
            <v>100</v>
          </cell>
          <cell r="G23">
            <v>100</v>
          </cell>
        </row>
        <row r="24">
          <cell r="E24">
            <v>45019</v>
          </cell>
          <cell r="F24">
            <v>100</v>
          </cell>
          <cell r="G24">
            <v>100</v>
          </cell>
        </row>
        <row r="25">
          <cell r="E25">
            <v>45021</v>
          </cell>
          <cell r="F25">
            <v>100.9138955227741</v>
          </cell>
          <cell r="G25">
            <v>100.98613619767998</v>
          </cell>
        </row>
        <row r="26">
          <cell r="E26">
            <v>45022</v>
          </cell>
          <cell r="F26">
            <v>101.15587666433882</v>
          </cell>
          <cell r="G26">
            <v>101.2291892389391</v>
          </cell>
        </row>
        <row r="27">
          <cell r="E27">
            <v>45026</v>
          </cell>
          <cell r="F27">
            <v>101.29899615186758</v>
          </cell>
          <cell r="G27">
            <v>101.2520970642116</v>
          </cell>
        </row>
        <row r="28">
          <cell r="E28">
            <v>45027</v>
          </cell>
          <cell r="F28">
            <v>101.86371461169497</v>
          </cell>
          <cell r="G28">
            <v>101.77862175424538</v>
          </cell>
        </row>
        <row r="29">
          <cell r="E29">
            <v>45028</v>
          </cell>
          <cell r="F29">
            <v>102.38158874126698</v>
          </cell>
          <cell r="G29">
            <v>102.17629415677884</v>
          </cell>
        </row>
        <row r="30">
          <cell r="E30">
            <v>45029</v>
          </cell>
          <cell r="F30">
            <v>102.47125396236933</v>
          </cell>
          <cell r="G30">
            <v>102.2409740799818</v>
          </cell>
        </row>
        <row r="31">
          <cell r="E31">
            <v>45033</v>
          </cell>
          <cell r="F31">
            <v>101.77491155618013</v>
          </cell>
          <cell r="G31">
            <v>101.36078234452961</v>
          </cell>
        </row>
        <row r="32">
          <cell r="E32">
            <v>45034</v>
          </cell>
          <cell r="F32">
            <v>101.5064906699314</v>
          </cell>
          <cell r="G32">
            <v>101.04991943348303</v>
          </cell>
        </row>
        <row r="33">
          <cell r="E33">
            <v>45035</v>
          </cell>
          <cell r="F33">
            <v>101.26853296777512</v>
          </cell>
          <cell r="G33">
            <v>100.7805579222839</v>
          </cell>
        </row>
        <row r="34">
          <cell r="E34">
            <v>45036</v>
          </cell>
          <cell r="F34">
            <v>101.30129526010099</v>
          </cell>
          <cell r="G34">
            <v>100.88976768013771</v>
          </cell>
        </row>
        <row r="35">
          <cell r="E35">
            <v>45037</v>
          </cell>
          <cell r="F35">
            <v>101.29899615186758</v>
          </cell>
          <cell r="G35">
            <v>100.92818988929122</v>
          </cell>
        </row>
        <row r="36">
          <cell r="E36">
            <v>45040</v>
          </cell>
          <cell r="F36">
            <v>101.98499257100653</v>
          </cell>
          <cell r="G36">
            <v>101.60669463429025</v>
          </cell>
        </row>
        <row r="37">
          <cell r="E37">
            <v>45041</v>
          </cell>
          <cell r="F37">
            <v>102.13357244058962</v>
          </cell>
          <cell r="G37">
            <v>101.73292453411166</v>
          </cell>
        </row>
        <row r="38">
          <cell r="E38">
            <v>45042</v>
          </cell>
          <cell r="F38">
            <v>102.38848606596717</v>
          </cell>
          <cell r="G38">
            <v>102.02032130508957</v>
          </cell>
        </row>
        <row r="39">
          <cell r="E39">
            <v>45043</v>
          </cell>
          <cell r="F39">
            <v>102.97159739166173</v>
          </cell>
          <cell r="G39">
            <v>102.61044312599437</v>
          </cell>
        </row>
        <row r="40">
          <cell r="E40">
            <v>45044</v>
          </cell>
          <cell r="F40">
            <v>103.83347559065531</v>
          </cell>
          <cell r="G40">
            <v>103.39387721541</v>
          </cell>
        </row>
        <row r="41">
          <cell r="E41">
            <v>45048</v>
          </cell>
          <cell r="F41">
            <v>104.30852882938034</v>
          </cell>
          <cell r="G41">
            <v>103.8037648689381</v>
          </cell>
        </row>
        <row r="42">
          <cell r="E42">
            <v>45049</v>
          </cell>
          <cell r="F42">
            <v>103.97630768965489</v>
          </cell>
          <cell r="G42">
            <v>103.53068125909796</v>
          </cell>
        </row>
        <row r="43">
          <cell r="E43">
            <v>45050</v>
          </cell>
          <cell r="F43">
            <v>104.93015021798421</v>
          </cell>
          <cell r="G43">
            <v>104.47127250431591</v>
          </cell>
        </row>
        <row r="44">
          <cell r="E44">
            <v>45051</v>
          </cell>
          <cell r="F44">
            <v>103.85646667298923</v>
          </cell>
          <cell r="G44">
            <v>103.29549538087555</v>
          </cell>
        </row>
        <row r="45">
          <cell r="E45">
            <v>45054</v>
          </cell>
          <cell r="F45">
            <v>104.97958104500219</v>
          </cell>
          <cell r="G45">
            <v>104.49665044959565</v>
          </cell>
        </row>
        <row r="46">
          <cell r="E46">
            <v>45055</v>
          </cell>
          <cell r="F46">
            <v>104.9884900894066</v>
          </cell>
          <cell r="G46">
            <v>104.4917102095812</v>
          </cell>
        </row>
        <row r="47">
          <cell r="E47">
            <v>45056</v>
          </cell>
          <cell r="F47">
            <v>105.27099301358486</v>
          </cell>
          <cell r="G47">
            <v>104.79433374772694</v>
          </cell>
        </row>
        <row r="48">
          <cell r="E48">
            <v>45057</v>
          </cell>
          <cell r="F48">
            <v>105.16695836602378</v>
          </cell>
          <cell r="G48">
            <v>104.73396807522154</v>
          </cell>
        </row>
        <row r="49">
          <cell r="E49">
            <v>45058</v>
          </cell>
          <cell r="F49">
            <v>105.26926868240982</v>
          </cell>
          <cell r="G49">
            <v>104.94271013446247</v>
          </cell>
        </row>
        <row r="50">
          <cell r="E50">
            <v>45061</v>
          </cell>
          <cell r="F50">
            <v>105.75236879995173</v>
          </cell>
          <cell r="G50">
            <v>105.48040112041933</v>
          </cell>
        </row>
        <row r="51">
          <cell r="E51">
            <v>45062</v>
          </cell>
          <cell r="F51">
            <v>105.1066067748972</v>
          </cell>
          <cell r="G51">
            <v>104.78125564659278</v>
          </cell>
        </row>
        <row r="52">
          <cell r="E52">
            <v>45063</v>
          </cell>
          <cell r="F52">
            <v>104.50452780627715</v>
          </cell>
          <cell r="G52">
            <v>104.1521702203685</v>
          </cell>
        </row>
        <row r="53">
          <cell r="E53">
            <v>45064</v>
          </cell>
          <cell r="F53">
            <v>104.20679329005263</v>
          </cell>
          <cell r="G53">
            <v>103.93408907726463</v>
          </cell>
        </row>
        <row r="54">
          <cell r="E54">
            <v>45065</v>
          </cell>
          <cell r="F54">
            <v>104.62896703940962</v>
          </cell>
          <cell r="G54">
            <v>104.43816274504093</v>
          </cell>
        </row>
        <row r="55">
          <cell r="E55">
            <v>45068</v>
          </cell>
          <cell r="F55">
            <v>105.26696957417646</v>
          </cell>
          <cell r="G55">
            <v>104.83405869140482</v>
          </cell>
        </row>
        <row r="56">
          <cell r="E56">
            <v>45069</v>
          </cell>
          <cell r="F56">
            <v>105.46009466578155</v>
          </cell>
          <cell r="G56">
            <v>104.86469833067255</v>
          </cell>
        </row>
        <row r="57">
          <cell r="E57">
            <v>45070</v>
          </cell>
          <cell r="F57">
            <v>105.1002842272554</v>
          </cell>
          <cell r="G57">
            <v>104.51277390416335</v>
          </cell>
        </row>
        <row r="58">
          <cell r="E58">
            <v>45071</v>
          </cell>
          <cell r="F58">
            <v>105.30576702561498</v>
          </cell>
          <cell r="G58">
            <v>104.67999764492662</v>
          </cell>
        </row>
        <row r="59">
          <cell r="E59">
            <v>45072</v>
          </cell>
          <cell r="F59">
            <v>106.33001974359199</v>
          </cell>
          <cell r="G59">
            <v>105.7442979140682</v>
          </cell>
        </row>
        <row r="60">
          <cell r="E60">
            <v>45075</v>
          </cell>
          <cell r="F60">
            <v>106.90077336253205</v>
          </cell>
          <cell r="G60">
            <v>106.32746617796633</v>
          </cell>
        </row>
        <row r="61">
          <cell r="E61">
            <v>45076</v>
          </cell>
          <cell r="F61">
            <v>107.10309488707071</v>
          </cell>
          <cell r="G61">
            <v>106.5351423635055</v>
          </cell>
        </row>
        <row r="62">
          <cell r="E62">
            <v>45077</v>
          </cell>
          <cell r="F62">
            <v>100</v>
          </cell>
          <cell r="G62">
            <v>100</v>
          </cell>
        </row>
        <row r="63">
          <cell r="E63">
            <v>45078</v>
          </cell>
          <cell r="F63">
            <v>99.748305852900543</v>
          </cell>
          <cell r="G63">
            <v>99.690684970706897</v>
          </cell>
        </row>
        <row r="64">
          <cell r="E64">
            <v>45079</v>
          </cell>
          <cell r="F64">
            <v>99.99838138812153</v>
          </cell>
          <cell r="G64">
            <v>99.880026648679461</v>
          </cell>
        </row>
        <row r="65">
          <cell r="E65">
            <v>45082</v>
          </cell>
          <cell r="F65">
            <v>100.32075492058009</v>
          </cell>
          <cell r="G65">
            <v>100.26385194780643</v>
          </cell>
        </row>
        <row r="66">
          <cell r="E66">
            <v>45083</v>
          </cell>
          <cell r="F66">
            <v>100.34854109116021</v>
          </cell>
          <cell r="G66">
            <v>100.27249105110263</v>
          </cell>
        </row>
        <row r="67">
          <cell r="E67">
            <v>45084</v>
          </cell>
          <cell r="F67">
            <v>101.03591160220995</v>
          </cell>
          <cell r="G67">
            <v>100.83152566883589</v>
          </cell>
        </row>
        <row r="68">
          <cell r="E68">
            <v>45085</v>
          </cell>
          <cell r="F68">
            <v>100.5403465987569</v>
          </cell>
          <cell r="G68">
            <v>100.36153289949388</v>
          </cell>
        </row>
        <row r="69">
          <cell r="E69">
            <v>45086</v>
          </cell>
          <cell r="F69">
            <v>100.15646581491713</v>
          </cell>
          <cell r="G69">
            <v>100.00541341223185</v>
          </cell>
        </row>
        <row r="70">
          <cell r="E70">
            <v>45089</v>
          </cell>
          <cell r="F70">
            <v>100.36202952348066</v>
          </cell>
          <cell r="G70">
            <v>100.16363196206335</v>
          </cell>
        </row>
        <row r="71">
          <cell r="E71">
            <v>45090</v>
          </cell>
          <cell r="F71">
            <v>100.98060902969614</v>
          </cell>
          <cell r="G71">
            <v>100.83184504418881</v>
          </cell>
        </row>
        <row r="72">
          <cell r="E72">
            <v>45091</v>
          </cell>
          <cell r="F72">
            <v>101.19507510359117</v>
          </cell>
          <cell r="G72">
            <v>100.96813847604305</v>
          </cell>
        </row>
        <row r="73">
          <cell r="E73">
            <v>45092</v>
          </cell>
          <cell r="F73">
            <v>100.82926881906076</v>
          </cell>
          <cell r="G73">
            <v>100.4717014274801</v>
          </cell>
        </row>
        <row r="74">
          <cell r="E74">
            <v>45093</v>
          </cell>
          <cell r="F74">
            <v>101.57329074585635</v>
          </cell>
          <cell r="G74">
            <v>101.21736303268618</v>
          </cell>
        </row>
        <row r="75">
          <cell r="E75">
            <v>45096</v>
          </cell>
          <cell r="F75">
            <v>101.1926471857735</v>
          </cell>
          <cell r="G75">
            <v>100.87199052604956</v>
          </cell>
        </row>
        <row r="76">
          <cell r="E76">
            <v>45097</v>
          </cell>
          <cell r="F76">
            <v>101.52311377762432</v>
          </cell>
          <cell r="G76">
            <v>101.12653268231863</v>
          </cell>
        </row>
        <row r="77">
          <cell r="E77">
            <v>45098</v>
          </cell>
          <cell r="F77">
            <v>101.73973800069061</v>
          </cell>
          <cell r="G77">
            <v>101.43864224594969</v>
          </cell>
        </row>
        <row r="78">
          <cell r="E78">
            <v>45099</v>
          </cell>
          <cell r="F78">
            <v>101.27789407803868</v>
          </cell>
          <cell r="G78">
            <v>100.98471405685905</v>
          </cell>
        </row>
        <row r="79">
          <cell r="E79">
            <v>45100</v>
          </cell>
          <cell r="F79">
            <v>100.70733339088399</v>
          </cell>
          <cell r="G79">
            <v>100.57029259892334</v>
          </cell>
        </row>
        <row r="80">
          <cell r="E80">
            <v>45103</v>
          </cell>
          <cell r="F80">
            <v>100.84599447513813</v>
          </cell>
          <cell r="G80">
            <v>100.55532986363953</v>
          </cell>
        </row>
        <row r="81">
          <cell r="E81">
            <v>45104</v>
          </cell>
          <cell r="F81">
            <v>101.52689053867404</v>
          </cell>
          <cell r="G81">
            <v>101.26758480693123</v>
          </cell>
        </row>
        <row r="82">
          <cell r="E82">
            <v>45105</v>
          </cell>
          <cell r="F82">
            <v>102.36155473066296</v>
          </cell>
          <cell r="G82">
            <v>102.06504909437926</v>
          </cell>
        </row>
        <row r="83">
          <cell r="E83">
            <v>45107</v>
          </cell>
          <cell r="F83">
            <v>103.53208088743092</v>
          </cell>
          <cell r="G83">
            <v>103.34756469905901</v>
          </cell>
        </row>
        <row r="84">
          <cell r="E84">
            <v>45110</v>
          </cell>
          <cell r="F84">
            <v>104.25236317334253</v>
          </cell>
          <cell r="G84">
            <v>104.12442927624437</v>
          </cell>
        </row>
        <row r="85">
          <cell r="E85">
            <v>45111</v>
          </cell>
          <cell r="F85">
            <v>104.6108857044199</v>
          </cell>
          <cell r="G85">
            <v>104.56197350973075</v>
          </cell>
        </row>
        <row r="86">
          <cell r="E86">
            <v>45112</v>
          </cell>
          <cell r="F86">
            <v>104.66214174723757</v>
          </cell>
          <cell r="G86">
            <v>104.509260607733</v>
          </cell>
        </row>
        <row r="87">
          <cell r="E87">
            <v>45113</v>
          </cell>
          <cell r="F87">
            <v>105.19520459254144</v>
          </cell>
          <cell r="G87">
            <v>105.05155995697378</v>
          </cell>
        </row>
        <row r="88">
          <cell r="E88">
            <v>45114</v>
          </cell>
          <cell r="F88">
            <v>104.30227037292818</v>
          </cell>
          <cell r="G88">
            <v>104.24483378429136</v>
          </cell>
        </row>
        <row r="89">
          <cell r="E89">
            <v>45117</v>
          </cell>
          <cell r="F89">
            <v>104.43229886049726</v>
          </cell>
          <cell r="G89">
            <v>104.3465867717284</v>
          </cell>
        </row>
        <row r="90">
          <cell r="E90">
            <v>45118</v>
          </cell>
          <cell r="F90">
            <v>104.88281250000003</v>
          </cell>
          <cell r="G90">
            <v>104.78360403588248</v>
          </cell>
        </row>
        <row r="91">
          <cell r="E91">
            <v>45119</v>
          </cell>
          <cell r="F91">
            <v>104.58552745165747</v>
          </cell>
          <cell r="G91">
            <v>104.42599945322941</v>
          </cell>
        </row>
        <row r="92">
          <cell r="E92">
            <v>45120</v>
          </cell>
          <cell r="F92">
            <v>104.74442118439228</v>
          </cell>
          <cell r="G92">
            <v>104.68946815061231</v>
          </cell>
        </row>
        <row r="93">
          <cell r="E93">
            <v>45121</v>
          </cell>
          <cell r="F93">
            <v>105.55777365331494</v>
          </cell>
          <cell r="G93">
            <v>105.49111625518346</v>
          </cell>
        </row>
        <row r="94">
          <cell r="E94">
            <v>45124</v>
          </cell>
          <cell r="F94">
            <v>106.35062370511052</v>
          </cell>
          <cell r="G94">
            <v>106.33591196993272</v>
          </cell>
        </row>
        <row r="95">
          <cell r="E95">
            <v>45125</v>
          </cell>
          <cell r="F95">
            <v>106.5545688017956</v>
          </cell>
          <cell r="G95">
            <v>106.6636070507858</v>
          </cell>
        </row>
        <row r="96">
          <cell r="E96">
            <v>45126</v>
          </cell>
          <cell r="F96">
            <v>107.00724059046964</v>
          </cell>
          <cell r="G96">
            <v>107.1463428967089</v>
          </cell>
        </row>
        <row r="97">
          <cell r="E97">
            <v>45127</v>
          </cell>
          <cell r="F97">
            <v>107.79496503798345</v>
          </cell>
          <cell r="G97">
            <v>107.90399704641672</v>
          </cell>
        </row>
        <row r="98">
          <cell r="E98">
            <v>45128</v>
          </cell>
          <cell r="F98">
            <v>106.53163846685085</v>
          </cell>
          <cell r="G98">
            <v>106.48654535513261</v>
          </cell>
        </row>
        <row r="99">
          <cell r="E99">
            <v>45131</v>
          </cell>
          <cell r="F99">
            <v>106.1396646236188</v>
          </cell>
          <cell r="G99">
            <v>106.00831270168553</v>
          </cell>
        </row>
        <row r="100">
          <cell r="E100">
            <v>45132</v>
          </cell>
          <cell r="F100">
            <v>106.18417645027625</v>
          </cell>
          <cell r="G100">
            <v>105.9618914941401</v>
          </cell>
        </row>
        <row r="101">
          <cell r="E101">
            <v>45133</v>
          </cell>
          <cell r="F101">
            <v>106.71130438535911</v>
          </cell>
          <cell r="G101">
            <v>106.52317770811136</v>
          </cell>
        </row>
        <row r="102">
          <cell r="E102">
            <v>45134</v>
          </cell>
          <cell r="F102">
            <v>106.072492230663</v>
          </cell>
          <cell r="G102">
            <v>105.81994511853937</v>
          </cell>
        </row>
        <row r="103">
          <cell r="E103">
            <v>45135</v>
          </cell>
          <cell r="F103">
            <v>105.99776631560773</v>
          </cell>
          <cell r="G103">
            <v>105.64968611790316</v>
          </cell>
        </row>
        <row r="104">
          <cell r="E104">
            <v>45138</v>
          </cell>
          <cell r="F104">
            <v>106.57911774861878</v>
          </cell>
          <cell r="G104">
            <v>106.2364904225719</v>
          </cell>
        </row>
        <row r="105">
          <cell r="E105">
            <v>45139</v>
          </cell>
          <cell r="F105">
            <v>106.4698614468232</v>
          </cell>
          <cell r="G105">
            <v>106.12732792694734</v>
          </cell>
        </row>
        <row r="106">
          <cell r="E106">
            <v>45140</v>
          </cell>
          <cell r="F106">
            <v>105.35301925069061</v>
          </cell>
          <cell r="G106">
            <v>105.04699288942713</v>
          </cell>
        </row>
        <row r="107">
          <cell r="E107">
            <v>45141</v>
          </cell>
          <cell r="F107">
            <v>104.5712297133978</v>
          </cell>
          <cell r="G107">
            <v>104.18132599536521</v>
          </cell>
        </row>
        <row r="108">
          <cell r="E108">
            <v>45142</v>
          </cell>
          <cell r="F108">
            <v>105.30149343922652</v>
          </cell>
          <cell r="G108">
            <v>104.94873706210443</v>
          </cell>
        </row>
        <row r="109">
          <cell r="E109">
            <v>45145</v>
          </cell>
          <cell r="F109">
            <v>105.7347418853591</v>
          </cell>
          <cell r="G109">
            <v>105.3195797531356</v>
          </cell>
        </row>
        <row r="110">
          <cell r="E110">
            <v>45146</v>
          </cell>
          <cell r="F110">
            <v>105.59203427140882</v>
          </cell>
          <cell r="G110">
            <v>105.14874587686417</v>
          </cell>
        </row>
        <row r="111">
          <cell r="E111">
            <v>45147</v>
          </cell>
          <cell r="F111">
            <v>105.92492878107734</v>
          </cell>
          <cell r="G111">
            <v>105.38717554657894</v>
          </cell>
        </row>
        <row r="112">
          <cell r="E112">
            <v>45148</v>
          </cell>
          <cell r="F112">
            <v>105.44231267265192</v>
          </cell>
          <cell r="G112">
            <v>104.89592834750079</v>
          </cell>
        </row>
        <row r="113">
          <cell r="E113">
            <v>45149</v>
          </cell>
          <cell r="F113">
            <v>104.82292386049723</v>
          </cell>
          <cell r="G113">
            <v>104.31222198375526</v>
          </cell>
        </row>
        <row r="114">
          <cell r="E114">
            <v>45152</v>
          </cell>
          <cell r="F114">
            <v>104.85664494129833</v>
          </cell>
          <cell r="G114">
            <v>104.43880640488103</v>
          </cell>
        </row>
        <row r="115">
          <cell r="E115">
            <v>45154</v>
          </cell>
          <cell r="F115">
            <v>105.02093404696133</v>
          </cell>
          <cell r="G115">
            <v>104.65837696000649</v>
          </cell>
        </row>
        <row r="116">
          <cell r="E116">
            <v>45155</v>
          </cell>
          <cell r="F116">
            <v>104.48274559737568</v>
          </cell>
          <cell r="G116">
            <v>104.03815002465572</v>
          </cell>
        </row>
        <row r="117">
          <cell r="E117">
            <v>45156</v>
          </cell>
          <cell r="F117">
            <v>104.18546054903315</v>
          </cell>
          <cell r="G117">
            <v>103.71500604258163</v>
          </cell>
        </row>
        <row r="118">
          <cell r="E118">
            <v>45159</v>
          </cell>
          <cell r="F118">
            <v>104.63570441988949</v>
          </cell>
          <cell r="G118">
            <v>104.14205879572492</v>
          </cell>
        </row>
        <row r="119">
          <cell r="E119">
            <v>45160</v>
          </cell>
          <cell r="F119">
            <v>104.65108123273481</v>
          </cell>
          <cell r="G119">
            <v>104.14835049017725</v>
          </cell>
        </row>
        <row r="120">
          <cell r="E120">
            <v>45161</v>
          </cell>
          <cell r="F120">
            <v>104.90763121546962</v>
          </cell>
          <cell r="G120">
            <v>104.48891639775259</v>
          </cell>
        </row>
        <row r="121">
          <cell r="E121">
            <v>45162</v>
          </cell>
          <cell r="F121">
            <v>104.59847634668509</v>
          </cell>
          <cell r="G121">
            <v>104.19994557843982</v>
          </cell>
        </row>
        <row r="122">
          <cell r="E122">
            <v>45163</v>
          </cell>
          <cell r="F122">
            <v>103.94617575966851</v>
          </cell>
          <cell r="G122">
            <v>103.61576015166493</v>
          </cell>
        </row>
        <row r="123">
          <cell r="E123">
            <v>45166</v>
          </cell>
          <cell r="F123">
            <v>104.16333952002762</v>
          </cell>
          <cell r="G123">
            <v>103.7915603146741</v>
          </cell>
        </row>
        <row r="124">
          <cell r="E124">
            <v>45167</v>
          </cell>
          <cell r="F124">
            <v>104.3608101691989</v>
          </cell>
          <cell r="G124">
            <v>103.91806489196165</v>
          </cell>
        </row>
        <row r="125">
          <cell r="E125">
            <v>45168</v>
          </cell>
          <cell r="F125">
            <v>104.38670795925414</v>
          </cell>
          <cell r="G125">
            <v>103.93631719338043</v>
          </cell>
        </row>
        <row r="126">
          <cell r="E126">
            <v>45169</v>
          </cell>
          <cell r="F126">
            <v>103.88143128453038</v>
          </cell>
          <cell r="G126">
            <v>103.52777224193827</v>
          </cell>
        </row>
        <row r="127">
          <cell r="E127">
            <v>45170</v>
          </cell>
          <cell r="F127">
            <v>104.86069147099447</v>
          </cell>
          <cell r="G127">
            <v>104.41523650383628</v>
          </cell>
        </row>
        <row r="128">
          <cell r="E128">
            <v>45173</v>
          </cell>
          <cell r="F128">
            <v>105.365158839779</v>
          </cell>
          <cell r="G128">
            <v>104.80005186655725</v>
          </cell>
        </row>
        <row r="129">
          <cell r="E129">
            <v>45174</v>
          </cell>
          <cell r="F129">
            <v>105.61388553176796</v>
          </cell>
          <cell r="G129">
            <v>105.04296875998041</v>
          </cell>
        </row>
        <row r="130">
          <cell r="E130">
            <v>45175</v>
          </cell>
          <cell r="F130">
            <v>105.80892826312154</v>
          </cell>
          <cell r="G130">
            <v>105.2030716243941</v>
          </cell>
        </row>
        <row r="131">
          <cell r="E131">
            <v>45176</v>
          </cell>
          <cell r="F131">
            <v>106.43479152279005</v>
          </cell>
          <cell r="G131">
            <v>105.81793305381598</v>
          </cell>
        </row>
        <row r="132">
          <cell r="E132">
            <v>45177</v>
          </cell>
          <cell r="F132">
            <v>106.93602166781768</v>
          </cell>
          <cell r="G132">
            <v>106.35025192327834</v>
          </cell>
        </row>
        <row r="133">
          <cell r="E133">
            <v>45180</v>
          </cell>
          <cell r="F133">
            <v>107.88776545234805</v>
          </cell>
          <cell r="G133">
            <v>107.19367432401008</v>
          </cell>
        </row>
        <row r="134">
          <cell r="E134">
            <v>45181</v>
          </cell>
          <cell r="F134">
            <v>107.8707700276243</v>
          </cell>
          <cell r="G134">
            <v>107.34386058371589</v>
          </cell>
        </row>
        <row r="135">
          <cell r="E135">
            <v>45182</v>
          </cell>
          <cell r="F135">
            <v>108.28513466850828</v>
          </cell>
          <cell r="G135">
            <v>107.73646870504787</v>
          </cell>
        </row>
        <row r="136">
          <cell r="E136">
            <v>45183</v>
          </cell>
          <cell r="F136">
            <v>108.46372151243092</v>
          </cell>
          <cell r="G136">
            <v>107.81952226557205</v>
          </cell>
        </row>
        <row r="137">
          <cell r="E137">
            <v>45184</v>
          </cell>
          <cell r="F137">
            <v>108.94525854627071</v>
          </cell>
          <cell r="G137">
            <v>108.32993198582479</v>
          </cell>
        </row>
        <row r="138">
          <cell r="E138">
            <v>45187</v>
          </cell>
          <cell r="F138">
            <v>108.62666177486187</v>
          </cell>
          <cell r="G138">
            <v>107.94382315292451</v>
          </cell>
        </row>
        <row r="139">
          <cell r="E139">
            <v>45189</v>
          </cell>
          <cell r="F139">
            <v>107.37547479281768</v>
          </cell>
          <cell r="G139">
            <v>106.67270924834364</v>
          </cell>
        </row>
        <row r="140">
          <cell r="E140">
            <v>45190</v>
          </cell>
          <cell r="F140">
            <v>106.51734072859115</v>
          </cell>
          <cell r="G140">
            <v>105.76153136649209</v>
          </cell>
        </row>
        <row r="141">
          <cell r="E141">
            <v>45191</v>
          </cell>
          <cell r="F141">
            <v>106.14991583218233</v>
          </cell>
          <cell r="G141">
            <v>105.40847788261797</v>
          </cell>
        </row>
        <row r="142">
          <cell r="E142">
            <v>45194</v>
          </cell>
          <cell r="F142">
            <v>106.15153444406079</v>
          </cell>
          <cell r="G142">
            <v>105.43169647077453</v>
          </cell>
        </row>
        <row r="143">
          <cell r="E143">
            <v>45195</v>
          </cell>
          <cell r="F143">
            <v>106.09839002071826</v>
          </cell>
          <cell r="G143">
            <v>105.30678877025152</v>
          </cell>
        </row>
        <row r="144">
          <cell r="E144">
            <v>45196</v>
          </cell>
          <cell r="F144">
            <v>106.37760056975139</v>
          </cell>
          <cell r="G144">
            <v>105.58339976340667</v>
          </cell>
        </row>
        <row r="145">
          <cell r="E145">
            <v>45197</v>
          </cell>
          <cell r="F145">
            <v>105.33683313190608</v>
          </cell>
          <cell r="G145">
            <v>104.608714092629</v>
          </cell>
        </row>
        <row r="146">
          <cell r="E146">
            <v>45198</v>
          </cell>
          <cell r="F146">
            <v>105.95595217541437</v>
          </cell>
          <cell r="G146">
            <v>105.11985837619345</v>
          </cell>
        </row>
        <row r="147">
          <cell r="E147">
            <v>45202</v>
          </cell>
          <cell r="F147">
            <v>105.36488907113261</v>
          </cell>
          <cell r="G147">
            <v>104.61475028679899</v>
          </cell>
        </row>
        <row r="148">
          <cell r="E148">
            <v>45203</v>
          </cell>
          <cell r="F148">
            <v>104.86500776933701</v>
          </cell>
          <cell r="G148">
            <v>104.15794771953216</v>
          </cell>
        </row>
        <row r="149">
          <cell r="E149">
            <v>45204</v>
          </cell>
          <cell r="F149">
            <v>105.45661041091159</v>
          </cell>
          <cell r="G149">
            <v>104.80552915385967</v>
          </cell>
        </row>
        <row r="150">
          <cell r="E150">
            <v>45205</v>
          </cell>
          <cell r="F150">
            <v>106.03796184392264</v>
          </cell>
          <cell r="G150">
            <v>105.38688810876131</v>
          </cell>
        </row>
        <row r="151">
          <cell r="E151">
            <v>45208</v>
          </cell>
          <cell r="F151">
            <v>105.27640495511048</v>
          </cell>
          <cell r="G151">
            <v>104.61521338106073</v>
          </cell>
        </row>
        <row r="152">
          <cell r="E152">
            <v>45209</v>
          </cell>
          <cell r="F152">
            <v>106.23408364986186</v>
          </cell>
          <cell r="G152">
            <v>105.52059460025698</v>
          </cell>
        </row>
        <row r="153">
          <cell r="E153">
            <v>45210</v>
          </cell>
          <cell r="F153">
            <v>106.88962146063535</v>
          </cell>
          <cell r="G153">
            <v>106.14926901369221</v>
          </cell>
        </row>
        <row r="154">
          <cell r="E154">
            <v>45211</v>
          </cell>
          <cell r="F154">
            <v>106.79601174033149</v>
          </cell>
          <cell r="G154">
            <v>106.04601496209646</v>
          </cell>
        </row>
        <row r="155">
          <cell r="E155">
            <v>45212</v>
          </cell>
          <cell r="F155">
            <v>106.5642804730663</v>
          </cell>
          <cell r="G155">
            <v>105.84536739663091</v>
          </cell>
        </row>
        <row r="156">
          <cell r="E156">
            <v>45215</v>
          </cell>
          <cell r="F156">
            <v>106.46014977555249</v>
          </cell>
          <cell r="G156">
            <v>105.66043309852849</v>
          </cell>
        </row>
        <row r="157">
          <cell r="E157">
            <v>45216</v>
          </cell>
          <cell r="F157">
            <v>106.8904307665746</v>
          </cell>
          <cell r="G157">
            <v>106.07747343435805</v>
          </cell>
        </row>
        <row r="158">
          <cell r="E158">
            <v>45217</v>
          </cell>
          <cell r="F158">
            <v>106.13292040745857</v>
          </cell>
          <cell r="G158">
            <v>105.19748255571814</v>
          </cell>
        </row>
        <row r="159">
          <cell r="E159">
            <v>45218</v>
          </cell>
          <cell r="F159">
            <v>105.88257510359118</v>
          </cell>
          <cell r="G159">
            <v>104.80180843099824</v>
          </cell>
        </row>
        <row r="160">
          <cell r="E160">
            <v>45219</v>
          </cell>
          <cell r="F160">
            <v>105.43988475483427</v>
          </cell>
          <cell r="G160">
            <v>104.43193983479344</v>
          </cell>
        </row>
        <row r="161">
          <cell r="E161">
            <v>45222</v>
          </cell>
          <cell r="F161">
            <v>104.03223195787294</v>
          </cell>
          <cell r="G161">
            <v>103.11333481523488</v>
          </cell>
        </row>
        <row r="162">
          <cell r="E162">
            <v>45224</v>
          </cell>
          <cell r="F162">
            <v>103.17113043853593</v>
          </cell>
          <cell r="G162">
            <v>102.27845570519347</v>
          </cell>
        </row>
        <row r="163">
          <cell r="E163">
            <v>45225</v>
          </cell>
          <cell r="F163">
            <v>101.74189614986189</v>
          </cell>
          <cell r="G163">
            <v>100.8398134592438</v>
          </cell>
        </row>
        <row r="164">
          <cell r="E164">
            <v>45226</v>
          </cell>
          <cell r="F164">
            <v>102.76701700621548</v>
          </cell>
          <cell r="G164">
            <v>101.85327129786471</v>
          </cell>
        </row>
        <row r="165">
          <cell r="E165">
            <v>45229</v>
          </cell>
          <cell r="F165">
            <v>103.27229368093924</v>
          </cell>
          <cell r="G165">
            <v>102.38000109865115</v>
          </cell>
        </row>
        <row r="166">
          <cell r="E166">
            <v>45230</v>
          </cell>
          <cell r="F166">
            <v>102.94155732044199</v>
          </cell>
          <cell r="G166">
            <v>102.0003915541826</v>
          </cell>
        </row>
      </sheetData>
      <sheetData sheetId="5">
        <row r="2">
          <cell r="B2" t="str">
            <v>ADT at BSE (LHS)</v>
          </cell>
        </row>
      </sheetData>
      <sheetData sheetId="6"/>
      <sheetData sheetId="7"/>
      <sheetData sheetId="8"/>
      <sheetData sheetId="9"/>
      <sheetData sheetId="10"/>
      <sheetData sheetId="1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aw"/>
      <sheetName val="Raw - WFE"/>
      <sheetName val="WFE Pivot"/>
      <sheetName val="WFE Background"/>
      <sheetName val="Checking Pivot"/>
      <sheetName val="WFE Tables"/>
    </sheetNames>
    <sheetDataSet>
      <sheetData sheetId="0">
        <row r="2">
          <cell r="C2">
            <v>44409</v>
          </cell>
        </row>
      </sheetData>
      <sheetData sheetId="1" refreshError="1"/>
      <sheetData sheetId="2" refreshError="1"/>
      <sheetData sheetId="3" refreshError="1"/>
      <sheetData sheetId="4" refreshError="1"/>
      <sheetData sheetId="5"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aw"/>
      <sheetName val="Raw - WFE"/>
      <sheetName val="WFE Pivot"/>
      <sheetName val="WFE Background"/>
      <sheetName val="Checking Pivot"/>
      <sheetName val="WFE Tables"/>
    </sheetNames>
    <sheetDataSet>
      <sheetData sheetId="0">
        <row r="2">
          <cell r="C2">
            <v>44409</v>
          </cell>
        </row>
      </sheetData>
      <sheetData sheetId="1" refreshError="1"/>
      <sheetData sheetId="2" refreshError="1"/>
      <sheetData sheetId="3" refreshError="1"/>
      <sheetData sheetId="4" refreshError="1"/>
      <sheetData sheetId="5"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2"/>
      <sheetName val="PE &amp;VOL"/>
      <sheetName val="bond"/>
      <sheetName val="currency"/>
      <sheetName val="Chart 1-GDP YoY"/>
      <sheetName val="GDP QoQ"/>
      <sheetName val="Annual CPI Inflation"/>
      <sheetName val="Unemployment Rate"/>
      <sheetName val="Benchmark Int Rate"/>
      <sheetName val="Chart 2"/>
      <sheetName val="Mcap"/>
      <sheetName val="Sheet1"/>
    </sheetNames>
    <sheetDataSet>
      <sheetData sheetId="0"/>
      <sheetData sheetId="1">
        <row r="1">
          <cell r="A1" t="str">
            <v xml:space="preserve">          Country</v>
          </cell>
          <cell r="B1" t="str">
            <v>Index</v>
          </cell>
          <cell r="C1">
            <v>0</v>
          </cell>
          <cell r="D1" t="str">
            <v>Volatility (Percent)</v>
          </cell>
          <cell r="E1">
            <v>0</v>
          </cell>
          <cell r="F1" t="str">
            <v>PE Ratio</v>
          </cell>
          <cell r="I1" t="str">
            <v>Return</v>
          </cell>
          <cell r="J1" t="str">
            <v>Volatility</v>
          </cell>
          <cell r="K1" t="str">
            <v>PE Ratio</v>
          </cell>
          <cell r="M1">
            <v>0</v>
          </cell>
          <cell r="N1">
            <v>0</v>
          </cell>
          <cell r="O1">
            <v>0</v>
          </cell>
          <cell r="Q1" t="str">
            <v>BEST_PE_RATIO</v>
          </cell>
        </row>
        <row r="2">
          <cell r="A2">
            <v>0</v>
          </cell>
          <cell r="B2">
            <v>0</v>
          </cell>
          <cell r="C2">
            <v>0</v>
          </cell>
          <cell r="D2">
            <v>43039</v>
          </cell>
          <cell r="E2">
            <v>0</v>
          </cell>
          <cell r="F2">
            <v>43039</v>
          </cell>
          <cell r="G2">
            <v>0</v>
          </cell>
          <cell r="H2">
            <v>0</v>
          </cell>
          <cell r="I2">
            <v>3</v>
          </cell>
          <cell r="J2">
            <v>4</v>
          </cell>
          <cell r="K2">
            <v>5</v>
          </cell>
          <cell r="M2" t="str">
            <v>Previous month last date</v>
          </cell>
          <cell r="N2">
            <v>0</v>
          </cell>
          <cell r="O2">
            <v>43007</v>
          </cell>
        </row>
        <row r="3">
          <cell r="A3" t="str">
            <v>Developed Markets</v>
          </cell>
          <cell r="B3">
            <v>0</v>
          </cell>
          <cell r="C3">
            <v>0</v>
          </cell>
          <cell r="D3">
            <v>0</v>
          </cell>
          <cell r="E3">
            <v>0</v>
          </cell>
          <cell r="F3">
            <v>0</v>
          </cell>
          <cell r="I3">
            <v>0</v>
          </cell>
          <cell r="J3">
            <v>0</v>
          </cell>
          <cell r="K3">
            <v>0</v>
          </cell>
          <cell r="M3" t="str">
            <v>Last Month</v>
          </cell>
          <cell r="N3">
            <v>43009</v>
          </cell>
          <cell r="O3">
            <v>43039</v>
          </cell>
        </row>
        <row r="4">
          <cell r="A4" t="str">
            <v>Australia</v>
          </cell>
          <cell r="B4" t="str">
            <v>All  Ordinaries</v>
          </cell>
          <cell r="C4">
            <v>0</v>
          </cell>
          <cell r="D4">
            <v>0.41643323677708621</v>
          </cell>
          <cell r="E4">
            <v>0</v>
          </cell>
          <cell r="F4">
            <v>16.396699999999999</v>
          </cell>
          <cell r="I4">
            <v>4.0302433617227527</v>
          </cell>
          <cell r="J4">
            <v>0.41643323677708621</v>
          </cell>
          <cell r="K4">
            <v>16.396699999999999</v>
          </cell>
          <cell r="L4" t="str">
            <v>AS30 Index</v>
          </cell>
          <cell r="Q4">
            <v>16.396699999999999</v>
          </cell>
        </row>
        <row r="5">
          <cell r="A5" t="str">
            <v xml:space="preserve">France </v>
          </cell>
          <cell r="B5" t="str">
            <v xml:space="preserve">CAC 40 </v>
          </cell>
          <cell r="C5">
            <v>0</v>
          </cell>
          <cell r="D5">
            <v>0.40107215617501352</v>
          </cell>
          <cell r="E5">
            <v>0</v>
          </cell>
          <cell r="F5">
            <v>16.1205</v>
          </cell>
          <cell r="I5">
            <v>3.2549002684898625</v>
          </cell>
          <cell r="J5">
            <v>0.40107215617501352</v>
          </cell>
          <cell r="K5">
            <v>16.1205</v>
          </cell>
          <cell r="L5" t="str">
            <v>CAC Index</v>
          </cell>
          <cell r="N5">
            <v>0</v>
          </cell>
          <cell r="Q5">
            <v>16.1205</v>
          </cell>
        </row>
        <row r="6">
          <cell r="A6" t="str">
            <v xml:space="preserve">Germany </v>
          </cell>
          <cell r="B6" t="str">
            <v>Dax</v>
          </cell>
          <cell r="C6">
            <v>0</v>
          </cell>
          <cell r="D6">
            <v>0.40723069887382413</v>
          </cell>
          <cell r="E6">
            <v>0</v>
          </cell>
          <cell r="F6">
            <v>14.925699999999999</v>
          </cell>
          <cell r="I6">
            <v>3.1235043487885839</v>
          </cell>
          <cell r="J6">
            <v>0.40723069887382413</v>
          </cell>
          <cell r="K6">
            <v>14.925699999999999</v>
          </cell>
          <cell r="L6" t="str">
            <v>DAX Index</v>
          </cell>
          <cell r="M6" t="str">
            <v>Daily Return</v>
          </cell>
          <cell r="N6" t="str">
            <v>CHG_PCT_1D</v>
          </cell>
          <cell r="Q6">
            <v>14.925699999999999</v>
          </cell>
        </row>
        <row r="7">
          <cell r="A7" t="str">
            <v xml:space="preserve">Hong Kong </v>
          </cell>
          <cell r="B7" t="str">
            <v xml:space="preserve">Hang Seng </v>
          </cell>
          <cell r="C7">
            <v>0</v>
          </cell>
          <cell r="D7">
            <v>0.85098456909752784</v>
          </cell>
          <cell r="E7">
            <v>0</v>
          </cell>
          <cell r="F7">
            <v>12.827999999999999</v>
          </cell>
          <cell r="I7">
            <v>2.5086465633313191</v>
          </cell>
          <cell r="J7">
            <v>0.85098456909752784</v>
          </cell>
          <cell r="K7">
            <v>12.827999999999999</v>
          </cell>
          <cell r="L7" t="str">
            <v>HSI Index</v>
          </cell>
          <cell r="N7">
            <v>0</v>
          </cell>
          <cell r="Q7">
            <v>12.827999999999999</v>
          </cell>
        </row>
      </sheetData>
      <sheetData sheetId="2"/>
      <sheetData sheetId="3"/>
      <sheetData sheetId="4"/>
      <sheetData sheetId="5"/>
      <sheetData sheetId="6"/>
      <sheetData sheetId="7"/>
      <sheetData sheetId="8"/>
      <sheetData sheetId="9"/>
      <sheetData sheetId="10"/>
      <sheetData sheetId="1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2"/>
      <sheetName val="PE &amp;VOL"/>
      <sheetName val="bond"/>
      <sheetName val="currency"/>
      <sheetName val="Chart 1-GDP YoY"/>
      <sheetName val="GDP QoQ"/>
      <sheetName val="Annual CPI Inflation"/>
      <sheetName val="Unemployment Rate"/>
      <sheetName val="Benchmark Int Rate"/>
      <sheetName val="Chart 2"/>
      <sheetName val="Mcap"/>
      <sheetName val="Sheet1"/>
    </sheetNames>
    <sheetDataSet>
      <sheetData sheetId="0"/>
      <sheetData sheetId="1">
        <row r="1">
          <cell r="A1" t="str">
            <v xml:space="preserve">          Country</v>
          </cell>
          <cell r="B1" t="str">
            <v>Index</v>
          </cell>
          <cell r="C1">
            <v>0</v>
          </cell>
          <cell r="D1" t="str">
            <v>Volatility (Percent)</v>
          </cell>
          <cell r="E1">
            <v>0</v>
          </cell>
          <cell r="F1" t="str">
            <v>PE Ratio</v>
          </cell>
          <cell r="I1" t="str">
            <v>Return</v>
          </cell>
          <cell r="J1" t="str">
            <v>Volatility</v>
          </cell>
          <cell r="K1" t="str">
            <v>PE Ratio</v>
          </cell>
          <cell r="M1">
            <v>0</v>
          </cell>
          <cell r="N1">
            <v>0</v>
          </cell>
          <cell r="O1">
            <v>0</v>
          </cell>
          <cell r="Q1" t="str">
            <v>BEST_PE_RATIO</v>
          </cell>
        </row>
        <row r="2">
          <cell r="A2">
            <v>0</v>
          </cell>
          <cell r="B2">
            <v>0</v>
          </cell>
          <cell r="C2">
            <v>0</v>
          </cell>
          <cell r="D2">
            <v>43039</v>
          </cell>
          <cell r="E2">
            <v>0</v>
          </cell>
          <cell r="F2">
            <v>43039</v>
          </cell>
          <cell r="G2">
            <v>0</v>
          </cell>
          <cell r="H2">
            <v>0</v>
          </cell>
          <cell r="I2">
            <v>3</v>
          </cell>
          <cell r="J2">
            <v>4</v>
          </cell>
          <cell r="K2">
            <v>5</v>
          </cell>
          <cell r="M2" t="str">
            <v>Previous month last date</v>
          </cell>
          <cell r="N2">
            <v>0</v>
          </cell>
          <cell r="O2">
            <v>43007</v>
          </cell>
        </row>
        <row r="3">
          <cell r="A3" t="str">
            <v>Developed Markets</v>
          </cell>
          <cell r="B3">
            <v>0</v>
          </cell>
          <cell r="C3">
            <v>0</v>
          </cell>
          <cell r="D3">
            <v>0</v>
          </cell>
          <cell r="E3">
            <v>0</v>
          </cell>
          <cell r="F3">
            <v>0</v>
          </cell>
          <cell r="I3">
            <v>0</v>
          </cell>
          <cell r="J3">
            <v>0</v>
          </cell>
          <cell r="K3">
            <v>0</v>
          </cell>
          <cell r="M3" t="str">
            <v>Last Month</v>
          </cell>
          <cell r="N3">
            <v>43009</v>
          </cell>
          <cell r="O3">
            <v>43039</v>
          </cell>
        </row>
        <row r="4">
          <cell r="A4" t="str">
            <v>Australia</v>
          </cell>
          <cell r="B4" t="str">
            <v>All  Ordinaries</v>
          </cell>
          <cell r="C4">
            <v>0</v>
          </cell>
          <cell r="D4">
            <v>0.41643323677708621</v>
          </cell>
          <cell r="E4">
            <v>0</v>
          </cell>
          <cell r="F4">
            <v>16.396699999999999</v>
          </cell>
          <cell r="I4">
            <v>4.0302433617227527</v>
          </cell>
          <cell r="J4">
            <v>0.41643323677708621</v>
          </cell>
          <cell r="K4">
            <v>16.396699999999999</v>
          </cell>
          <cell r="L4" t="str">
            <v>AS30 Index</v>
          </cell>
          <cell r="Q4">
            <v>16.396699999999999</v>
          </cell>
        </row>
        <row r="5">
          <cell r="A5" t="str">
            <v xml:space="preserve">France </v>
          </cell>
          <cell r="B5" t="str">
            <v xml:space="preserve">CAC 40 </v>
          </cell>
          <cell r="C5">
            <v>0</v>
          </cell>
          <cell r="D5">
            <v>0.40107215617501352</v>
          </cell>
          <cell r="E5">
            <v>0</v>
          </cell>
          <cell r="F5">
            <v>16.1205</v>
          </cell>
          <cell r="I5">
            <v>3.2549002684898625</v>
          </cell>
          <cell r="J5">
            <v>0.40107215617501352</v>
          </cell>
          <cell r="K5">
            <v>16.1205</v>
          </cell>
          <cell r="L5" t="str">
            <v>CAC Index</v>
          </cell>
          <cell r="N5">
            <v>0</v>
          </cell>
          <cell r="Q5">
            <v>16.1205</v>
          </cell>
        </row>
        <row r="6">
          <cell r="A6" t="str">
            <v xml:space="preserve">Germany </v>
          </cell>
          <cell r="B6" t="str">
            <v>Dax</v>
          </cell>
          <cell r="C6">
            <v>0</v>
          </cell>
          <cell r="D6">
            <v>0.40723069887382413</v>
          </cell>
          <cell r="E6">
            <v>0</v>
          </cell>
          <cell r="F6">
            <v>14.925699999999999</v>
          </cell>
          <cell r="I6">
            <v>3.1235043487885839</v>
          </cell>
          <cell r="J6">
            <v>0.40723069887382413</v>
          </cell>
          <cell r="K6">
            <v>14.925699999999999</v>
          </cell>
          <cell r="L6" t="str">
            <v>DAX Index</v>
          </cell>
          <cell r="M6" t="str">
            <v>Daily Return</v>
          </cell>
          <cell r="N6" t="str">
            <v>CHG_PCT_1D</v>
          </cell>
          <cell r="Q6">
            <v>14.925699999999999</v>
          </cell>
        </row>
        <row r="7">
          <cell r="A7" t="str">
            <v xml:space="preserve">Hong Kong </v>
          </cell>
          <cell r="B7" t="str">
            <v xml:space="preserve">Hang Seng </v>
          </cell>
          <cell r="C7">
            <v>0</v>
          </cell>
          <cell r="D7">
            <v>0.85098456909752784</v>
          </cell>
          <cell r="E7">
            <v>0</v>
          </cell>
          <cell r="F7">
            <v>12.827999999999999</v>
          </cell>
          <cell r="I7">
            <v>2.5086465633313191</v>
          </cell>
          <cell r="J7">
            <v>0.85098456909752784</v>
          </cell>
          <cell r="K7">
            <v>12.827999999999999</v>
          </cell>
          <cell r="L7" t="str">
            <v>HSI Index</v>
          </cell>
          <cell r="N7">
            <v>0</v>
          </cell>
          <cell r="Q7">
            <v>12.827999999999999</v>
          </cell>
        </row>
      </sheetData>
      <sheetData sheetId="2"/>
      <sheetData sheetId="3"/>
      <sheetData sheetId="4"/>
      <sheetData sheetId="5"/>
      <sheetData sheetId="6"/>
      <sheetData sheetId="7"/>
      <sheetData sheetId="8"/>
      <sheetData sheetId="9"/>
      <sheetData sheetId="10"/>
      <sheetData sheetId="1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Table 4 &amp; Fig. 13"/>
      <sheetName val="Write up"/>
      <sheetName val="Figure 14, 15 &amp; 16"/>
      <sheetName val="64"/>
      <sheetName val="65"/>
      <sheetName val="66"/>
      <sheetName val="67"/>
      <sheetName val="68"/>
      <sheetName val="69"/>
      <sheetName val="70"/>
      <sheetName val="71"/>
      <sheetName val="72"/>
      <sheetName val="73"/>
      <sheetName val="Pivot index data"/>
      <sheetName val="MCXiCOMDEX_HistoricalData"/>
      <sheetName val="Historical data (Turnover)"/>
      <sheetName val="sectoral Indices"/>
      <sheetName val="Raw worksheet"/>
    </sheetNames>
    <sheetDataSet>
      <sheetData sheetId="0">
        <row r="2">
          <cell r="B2">
            <v>45535</v>
          </cell>
        </row>
      </sheetData>
      <sheetData sheetId="1" refreshError="1"/>
      <sheetData sheetId="2" refreshError="1"/>
      <sheetData sheetId="3" refreshError="1"/>
      <sheetData sheetId="4"/>
      <sheetData sheetId="5"/>
      <sheetData sheetId="6"/>
      <sheetData sheetId="7"/>
      <sheetData sheetId="8"/>
      <sheetData sheetId="9"/>
      <sheetData sheetId="10"/>
      <sheetData sheetId="11" refreshError="1"/>
      <sheetData sheetId="12"/>
      <sheetData sheetId="13" refreshError="1"/>
      <sheetData sheetId="14" refreshError="1"/>
      <sheetData sheetId="15">
        <row r="2">
          <cell r="A2">
            <v>45534</v>
          </cell>
        </row>
      </sheetData>
      <sheetData sheetId="16" refreshError="1"/>
      <sheetData sheetId="17" refreshError="1"/>
      <sheetData sheetId="18"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36.bin"/></Relationships>
</file>

<file path=xl/worksheets/_rels/sheet37.xml.rels><?xml version="1.0" encoding="UTF-8" standalone="yes"?>
<Relationships xmlns="http://schemas.openxmlformats.org/package/2006/relationships"><Relationship Id="rId1" Type="http://schemas.openxmlformats.org/officeDocument/2006/relationships/printerSettings" Target="../printerSettings/printerSettings37.bin"/></Relationships>
</file>

<file path=xl/worksheets/_rels/sheet38.xml.rels><?xml version="1.0" encoding="UTF-8" standalone="yes"?>
<Relationships xmlns="http://schemas.openxmlformats.org/package/2006/relationships"><Relationship Id="rId1" Type="http://schemas.openxmlformats.org/officeDocument/2006/relationships/printerSettings" Target="../printerSettings/printerSettings38.bin"/></Relationships>
</file>

<file path=xl/worksheets/_rels/sheet39.xml.rels><?xml version="1.0" encoding="UTF-8" standalone="yes"?>
<Relationships xmlns="http://schemas.openxmlformats.org/package/2006/relationships"><Relationship Id="rId1" Type="http://schemas.openxmlformats.org/officeDocument/2006/relationships/printerSettings" Target="../printerSettings/printerSettings39.bin"/></Relationships>
</file>

<file path=xl/worksheets/_rels/sheet40.xml.rels><?xml version="1.0" encoding="UTF-8" standalone="yes"?>
<Relationships xmlns="http://schemas.openxmlformats.org/package/2006/relationships"><Relationship Id="rId1" Type="http://schemas.openxmlformats.org/officeDocument/2006/relationships/printerSettings" Target="../printerSettings/printerSettings40.bin"/></Relationships>
</file>

<file path=xl/worksheets/_rels/sheet41.xml.rels><?xml version="1.0" encoding="UTF-8" standalone="yes"?>
<Relationships xmlns="http://schemas.openxmlformats.org/package/2006/relationships"><Relationship Id="rId1" Type="http://schemas.openxmlformats.org/officeDocument/2006/relationships/printerSettings" Target="../printerSettings/printerSettings41.bin"/></Relationships>
</file>

<file path=xl/worksheets/_rels/sheet42.xml.rels><?xml version="1.0" encoding="UTF-8" standalone="yes"?>
<Relationships xmlns="http://schemas.openxmlformats.org/package/2006/relationships"><Relationship Id="rId1" Type="http://schemas.openxmlformats.org/officeDocument/2006/relationships/printerSettings" Target="../printerSettings/printerSettings42.bin"/></Relationships>
</file>

<file path=xl/worksheets/_rels/sheet43.xml.rels><?xml version="1.0" encoding="UTF-8" standalone="yes"?>
<Relationships xmlns="http://schemas.openxmlformats.org/package/2006/relationships"><Relationship Id="rId1" Type="http://schemas.openxmlformats.org/officeDocument/2006/relationships/printerSettings" Target="../printerSettings/printerSettings43.bin"/></Relationships>
</file>

<file path=xl/worksheets/_rels/sheet44.xml.rels><?xml version="1.0" encoding="UTF-8" standalone="yes"?>
<Relationships xmlns="http://schemas.openxmlformats.org/package/2006/relationships"><Relationship Id="rId1" Type="http://schemas.openxmlformats.org/officeDocument/2006/relationships/printerSettings" Target="../printerSettings/printerSettings44.bin"/></Relationships>
</file>

<file path=xl/worksheets/_rels/sheet45.xml.rels><?xml version="1.0" encoding="UTF-8" standalone="yes"?>
<Relationships xmlns="http://schemas.openxmlformats.org/package/2006/relationships"><Relationship Id="rId1" Type="http://schemas.openxmlformats.org/officeDocument/2006/relationships/printerSettings" Target="../printerSettings/printerSettings45.bin"/></Relationships>
</file>

<file path=xl/worksheets/_rels/sheet46.xml.rels><?xml version="1.0" encoding="UTF-8" standalone="yes"?>
<Relationships xmlns="http://schemas.openxmlformats.org/package/2006/relationships"><Relationship Id="rId1" Type="http://schemas.openxmlformats.org/officeDocument/2006/relationships/printerSettings" Target="../printerSettings/printerSettings46.bin"/></Relationships>
</file>

<file path=xl/worksheets/_rels/sheet47.xml.rels><?xml version="1.0" encoding="UTF-8" standalone="yes"?>
<Relationships xmlns="http://schemas.openxmlformats.org/package/2006/relationships"><Relationship Id="rId1" Type="http://schemas.openxmlformats.org/officeDocument/2006/relationships/printerSettings" Target="../printerSettings/printerSettings47.bin"/></Relationships>
</file>

<file path=xl/worksheets/_rels/sheet48.xml.rels><?xml version="1.0" encoding="UTF-8" standalone="yes"?>
<Relationships xmlns="http://schemas.openxmlformats.org/package/2006/relationships"><Relationship Id="rId1" Type="http://schemas.openxmlformats.org/officeDocument/2006/relationships/printerSettings" Target="../printerSettings/printerSettings48.bin"/></Relationships>
</file>

<file path=xl/worksheets/_rels/sheet49.xml.rels><?xml version="1.0" encoding="UTF-8" standalone="yes"?>
<Relationships xmlns="http://schemas.openxmlformats.org/package/2006/relationships"><Relationship Id="rId1" Type="http://schemas.openxmlformats.org/officeDocument/2006/relationships/printerSettings" Target="../printerSettings/printerSettings49.bin"/></Relationships>
</file>

<file path=xl/worksheets/_rels/sheet50.xml.rels><?xml version="1.0" encoding="UTF-8" standalone="yes"?>
<Relationships xmlns="http://schemas.openxmlformats.org/package/2006/relationships"><Relationship Id="rId1" Type="http://schemas.openxmlformats.org/officeDocument/2006/relationships/printerSettings" Target="../printerSettings/printerSettings50.bin"/></Relationships>
</file>

<file path=xl/worksheets/_rels/sheet51.xml.rels><?xml version="1.0" encoding="UTF-8" standalone="yes"?>
<Relationships xmlns="http://schemas.openxmlformats.org/package/2006/relationships"><Relationship Id="rId1" Type="http://schemas.openxmlformats.org/officeDocument/2006/relationships/printerSettings" Target="../printerSettings/printerSettings51.bin"/></Relationships>
</file>

<file path=xl/worksheets/_rels/sheet52.xml.rels><?xml version="1.0" encoding="UTF-8" standalone="yes"?>
<Relationships xmlns="http://schemas.openxmlformats.org/package/2006/relationships"><Relationship Id="rId1" Type="http://schemas.openxmlformats.org/officeDocument/2006/relationships/printerSettings" Target="../printerSettings/printerSettings52.bin"/></Relationships>
</file>

<file path=xl/worksheets/_rels/sheet53.xml.rels><?xml version="1.0" encoding="UTF-8" standalone="yes"?>
<Relationships xmlns="http://schemas.openxmlformats.org/package/2006/relationships"><Relationship Id="rId1" Type="http://schemas.openxmlformats.org/officeDocument/2006/relationships/printerSettings" Target="../printerSettings/printerSettings53.bin"/></Relationships>
</file>

<file path=xl/worksheets/_rels/sheet54.xml.rels><?xml version="1.0" encoding="UTF-8" standalone="yes"?>
<Relationships xmlns="http://schemas.openxmlformats.org/package/2006/relationships"><Relationship Id="rId1" Type="http://schemas.openxmlformats.org/officeDocument/2006/relationships/printerSettings" Target="../printerSettings/printerSettings54.bin"/></Relationships>
</file>

<file path=xl/worksheets/_rels/sheet55.xml.rels><?xml version="1.0" encoding="UTF-8" standalone="yes"?>
<Relationships xmlns="http://schemas.openxmlformats.org/package/2006/relationships"><Relationship Id="rId1" Type="http://schemas.openxmlformats.org/officeDocument/2006/relationships/printerSettings" Target="../printerSettings/printerSettings55.bin"/></Relationships>
</file>

<file path=xl/worksheets/_rels/sheet56.xml.rels><?xml version="1.0" encoding="UTF-8" standalone="yes"?>
<Relationships xmlns="http://schemas.openxmlformats.org/package/2006/relationships"><Relationship Id="rId1" Type="http://schemas.openxmlformats.org/officeDocument/2006/relationships/printerSettings" Target="../printerSettings/printerSettings56.bin"/></Relationships>
</file>

<file path=xl/worksheets/_rels/sheet57.xml.rels><?xml version="1.0" encoding="UTF-8" standalone="yes"?>
<Relationships xmlns="http://schemas.openxmlformats.org/package/2006/relationships"><Relationship Id="rId1" Type="http://schemas.openxmlformats.org/officeDocument/2006/relationships/printerSettings" Target="../printerSettings/printerSettings57.bin"/></Relationships>
</file>

<file path=xl/worksheets/_rels/sheet58.xml.rels><?xml version="1.0" encoding="UTF-8" standalone="yes"?>
<Relationships xmlns="http://schemas.openxmlformats.org/package/2006/relationships"><Relationship Id="rId1" Type="http://schemas.openxmlformats.org/officeDocument/2006/relationships/printerSettings" Target="../printerSettings/printerSettings58.bin"/></Relationships>
</file>

<file path=xl/worksheets/_rels/sheet59.xml.rels><?xml version="1.0" encoding="UTF-8" standalone="yes"?>
<Relationships xmlns="http://schemas.openxmlformats.org/package/2006/relationships"><Relationship Id="rId1" Type="http://schemas.openxmlformats.org/officeDocument/2006/relationships/printerSettings" Target="../printerSettings/printerSettings59.bin"/></Relationships>
</file>

<file path=xl/worksheets/_rels/sheet60.xml.rels><?xml version="1.0" encoding="UTF-8" standalone="yes"?>
<Relationships xmlns="http://schemas.openxmlformats.org/package/2006/relationships"><Relationship Id="rId1" Type="http://schemas.openxmlformats.org/officeDocument/2006/relationships/printerSettings" Target="../printerSettings/printerSettings60.bin"/></Relationships>
</file>

<file path=xl/worksheets/_rels/sheet61.xml.rels><?xml version="1.0" encoding="UTF-8" standalone="yes"?>
<Relationships xmlns="http://schemas.openxmlformats.org/package/2006/relationships"><Relationship Id="rId1" Type="http://schemas.openxmlformats.org/officeDocument/2006/relationships/printerSettings" Target="../printerSettings/printerSettings61.bin"/></Relationships>
</file>

<file path=xl/worksheets/_rels/sheet62.xml.rels><?xml version="1.0" encoding="UTF-8" standalone="yes"?>
<Relationships xmlns="http://schemas.openxmlformats.org/package/2006/relationships"><Relationship Id="rId1" Type="http://schemas.openxmlformats.org/officeDocument/2006/relationships/printerSettings" Target="../printerSettings/printerSettings62.bin"/></Relationships>
</file>

<file path=xl/worksheets/_rels/sheet63.xml.rels><?xml version="1.0" encoding="UTF-8" standalone="yes"?>
<Relationships xmlns="http://schemas.openxmlformats.org/package/2006/relationships"><Relationship Id="rId1" Type="http://schemas.openxmlformats.org/officeDocument/2006/relationships/printerSettings" Target="../printerSettings/printerSettings63.bin"/></Relationships>
</file>

<file path=xl/worksheets/_rels/sheet64.xml.rels><?xml version="1.0" encoding="UTF-8" standalone="yes"?>
<Relationships xmlns="http://schemas.openxmlformats.org/package/2006/relationships"><Relationship Id="rId1" Type="http://schemas.openxmlformats.org/officeDocument/2006/relationships/printerSettings" Target="../printerSettings/printerSettings64.bin"/></Relationships>
</file>

<file path=xl/worksheets/_rels/sheet65.xml.rels><?xml version="1.0" encoding="UTF-8" standalone="yes"?>
<Relationships xmlns="http://schemas.openxmlformats.org/package/2006/relationships"><Relationship Id="rId1" Type="http://schemas.openxmlformats.org/officeDocument/2006/relationships/printerSettings" Target="../printerSettings/printerSettings65.bin"/></Relationships>
</file>

<file path=xl/worksheets/_rels/sheet66.xml.rels><?xml version="1.0" encoding="UTF-8" standalone="yes"?>
<Relationships xmlns="http://schemas.openxmlformats.org/package/2006/relationships"><Relationship Id="rId1" Type="http://schemas.openxmlformats.org/officeDocument/2006/relationships/printerSettings" Target="../printerSettings/printerSettings66.bin"/></Relationships>
</file>

<file path=xl/worksheets/_rels/sheet67.xml.rels><?xml version="1.0" encoding="UTF-8" standalone="yes"?>
<Relationships xmlns="http://schemas.openxmlformats.org/package/2006/relationships"><Relationship Id="rId1" Type="http://schemas.openxmlformats.org/officeDocument/2006/relationships/printerSettings" Target="../printerSettings/printerSettings67.bin"/></Relationships>
</file>

<file path=xl/worksheets/_rels/sheet68.xml.rels><?xml version="1.0" encoding="UTF-8" standalone="yes"?>
<Relationships xmlns="http://schemas.openxmlformats.org/package/2006/relationships"><Relationship Id="rId1" Type="http://schemas.openxmlformats.org/officeDocument/2006/relationships/printerSettings" Target="../printerSettings/printerSettings68.bin"/></Relationships>
</file>

<file path=xl/worksheets/_rels/sheet69.xml.rels><?xml version="1.0" encoding="UTF-8" standalone="yes"?>
<Relationships xmlns="http://schemas.openxmlformats.org/package/2006/relationships"><Relationship Id="rId1" Type="http://schemas.openxmlformats.org/officeDocument/2006/relationships/printerSettings" Target="../printerSettings/printerSettings69.bin"/></Relationships>
</file>

<file path=xl/worksheets/_rels/sheet70.xml.rels><?xml version="1.0" encoding="UTF-8" standalone="yes"?>
<Relationships xmlns="http://schemas.openxmlformats.org/package/2006/relationships"><Relationship Id="rId1" Type="http://schemas.openxmlformats.org/officeDocument/2006/relationships/printerSettings" Target="../printerSettings/printerSettings70.bin"/></Relationships>
</file>

<file path=xl/worksheets/_rels/sheet71.xml.rels><?xml version="1.0" encoding="UTF-8" standalone="yes"?>
<Relationships xmlns="http://schemas.openxmlformats.org/package/2006/relationships"><Relationship Id="rId1" Type="http://schemas.openxmlformats.org/officeDocument/2006/relationships/printerSettings" Target="../printerSettings/printerSettings71.bin"/></Relationships>
</file>

<file path=xl/worksheets/_rels/sheet72.xml.rels><?xml version="1.0" encoding="UTF-8" standalone="yes"?>
<Relationships xmlns="http://schemas.openxmlformats.org/package/2006/relationships"><Relationship Id="rId1" Type="http://schemas.openxmlformats.org/officeDocument/2006/relationships/printerSettings" Target="../printerSettings/printerSettings72.bin"/></Relationships>
</file>

<file path=xl/worksheets/_rels/sheet73.xml.rels><?xml version="1.0" encoding="UTF-8" standalone="yes"?>
<Relationships xmlns="http://schemas.openxmlformats.org/package/2006/relationships"><Relationship Id="rId1" Type="http://schemas.openxmlformats.org/officeDocument/2006/relationships/printerSettings" Target="../printerSettings/printerSettings73.bin"/></Relationships>
</file>

<file path=xl/worksheets/_rels/sheet74.xml.rels><?xml version="1.0" encoding="UTF-8" standalone="yes"?>
<Relationships xmlns="http://schemas.openxmlformats.org/package/2006/relationships"><Relationship Id="rId1" Type="http://schemas.openxmlformats.org/officeDocument/2006/relationships/printerSettings" Target="../printerSettings/printerSettings74.bin"/></Relationships>
</file>

<file path=xl/worksheets/_rels/sheet75.xml.rels><?xml version="1.0" encoding="UTF-8" standalone="yes"?>
<Relationships xmlns="http://schemas.openxmlformats.org/package/2006/relationships"><Relationship Id="rId1" Type="http://schemas.openxmlformats.org/officeDocument/2006/relationships/printerSettings" Target="../printerSettings/printerSettings7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A75"/>
  <sheetViews>
    <sheetView workbookViewId="0"/>
  </sheetViews>
  <sheetFormatPr defaultRowHeight="15.75"/>
  <cols>
    <col min="1" max="1" width="109.85546875" style="3" customWidth="1"/>
    <col min="2" max="16384" width="9.140625" style="1"/>
  </cols>
  <sheetData>
    <row r="1" spans="1:1" s="2" customFormat="1" ht="18.75" customHeight="1">
      <c r="A1" s="335" t="s">
        <v>0</v>
      </c>
    </row>
    <row r="2" spans="1:1" s="2" customFormat="1" ht="18" customHeight="1">
      <c r="A2" s="170" t="s">
        <v>1</v>
      </c>
    </row>
    <row r="3" spans="1:1" s="2" customFormat="1" ht="18" customHeight="1">
      <c r="A3" s="170" t="s">
        <v>2</v>
      </c>
    </row>
    <row r="4" spans="1:1" s="2" customFormat="1" ht="18" customHeight="1">
      <c r="A4" s="170" t="s">
        <v>3</v>
      </c>
    </row>
    <row r="5" spans="1:1" s="340" customFormat="1" ht="18" customHeight="1">
      <c r="A5" s="170" t="s">
        <v>735</v>
      </c>
    </row>
    <row r="6" spans="1:1" s="2" customFormat="1" ht="18" customHeight="1">
      <c r="A6" s="170" t="s">
        <v>720</v>
      </c>
    </row>
    <row r="7" spans="1:1" s="2" customFormat="1" ht="18" customHeight="1">
      <c r="A7" s="261" t="s">
        <v>721</v>
      </c>
    </row>
    <row r="8" spans="1:1" s="2" customFormat="1" ht="18" customHeight="1">
      <c r="A8" s="170" t="s">
        <v>4</v>
      </c>
    </row>
    <row r="9" spans="1:1" s="2" customFormat="1" ht="18" customHeight="1">
      <c r="A9" s="170" t="s">
        <v>5</v>
      </c>
    </row>
    <row r="10" spans="1:1" s="2" customFormat="1" ht="18" customHeight="1">
      <c r="A10" s="170" t="s">
        <v>6</v>
      </c>
    </row>
    <row r="11" spans="1:1" s="2" customFormat="1" ht="18" customHeight="1">
      <c r="A11" s="170" t="s">
        <v>7</v>
      </c>
    </row>
    <row r="12" spans="1:1" s="2" customFormat="1" ht="18" customHeight="1">
      <c r="A12" s="170" t="s">
        <v>8</v>
      </c>
    </row>
    <row r="13" spans="1:1" s="2" customFormat="1" ht="18" customHeight="1">
      <c r="A13" s="170" t="s">
        <v>742</v>
      </c>
    </row>
    <row r="14" spans="1:1" s="2" customFormat="1" ht="18" customHeight="1">
      <c r="A14" s="170" t="s">
        <v>9</v>
      </c>
    </row>
    <row r="15" spans="1:1" s="2" customFormat="1" ht="18" customHeight="1">
      <c r="A15" s="170" t="s">
        <v>10</v>
      </c>
    </row>
    <row r="16" spans="1:1" s="2" customFormat="1" ht="18" customHeight="1">
      <c r="A16" s="170" t="s">
        <v>11</v>
      </c>
    </row>
    <row r="17" spans="1:1" s="2" customFormat="1" ht="18" customHeight="1">
      <c r="A17" s="170" t="s">
        <v>12</v>
      </c>
    </row>
    <row r="18" spans="1:1" s="2" customFormat="1" ht="18" customHeight="1">
      <c r="A18" s="170" t="s">
        <v>13</v>
      </c>
    </row>
    <row r="19" spans="1:1" s="2" customFormat="1" ht="18" customHeight="1">
      <c r="A19" s="170" t="s">
        <v>14</v>
      </c>
    </row>
    <row r="20" spans="1:1" s="2" customFormat="1" ht="18" customHeight="1">
      <c r="A20" s="170" t="s">
        <v>15</v>
      </c>
    </row>
    <row r="21" spans="1:1" s="2" customFormat="1" ht="18" customHeight="1">
      <c r="A21" s="170" t="s">
        <v>16</v>
      </c>
    </row>
    <row r="22" spans="1:1" s="2" customFormat="1" ht="18" customHeight="1">
      <c r="A22" s="170" t="s">
        <v>17</v>
      </c>
    </row>
    <row r="23" spans="1:1" s="2" customFormat="1" ht="18" customHeight="1">
      <c r="A23" s="170" t="s">
        <v>18</v>
      </c>
    </row>
    <row r="24" spans="1:1" s="2" customFormat="1" ht="18" customHeight="1">
      <c r="A24" s="170" t="s">
        <v>19</v>
      </c>
    </row>
    <row r="25" spans="1:1" s="2" customFormat="1" ht="18" customHeight="1">
      <c r="A25" s="170" t="s">
        <v>20</v>
      </c>
    </row>
    <row r="26" spans="1:1" s="2" customFormat="1" ht="18" customHeight="1">
      <c r="A26" s="170" t="s">
        <v>21</v>
      </c>
    </row>
    <row r="27" spans="1:1" s="2" customFormat="1" ht="18" customHeight="1">
      <c r="A27" s="170" t="s">
        <v>22</v>
      </c>
    </row>
    <row r="28" spans="1:1" s="2" customFormat="1" ht="18" customHeight="1">
      <c r="A28" s="170" t="s">
        <v>23</v>
      </c>
    </row>
    <row r="29" spans="1:1" s="2" customFormat="1" ht="18" customHeight="1">
      <c r="A29" s="170" t="s">
        <v>24</v>
      </c>
    </row>
    <row r="30" spans="1:1" s="2" customFormat="1" ht="18" customHeight="1">
      <c r="A30" s="170" t="s">
        <v>25</v>
      </c>
    </row>
    <row r="31" spans="1:1" s="2" customFormat="1" ht="18" customHeight="1">
      <c r="A31" s="170" t="s">
        <v>26</v>
      </c>
    </row>
    <row r="32" spans="1:1" s="2" customFormat="1" ht="18" customHeight="1">
      <c r="A32" s="170" t="s">
        <v>27</v>
      </c>
    </row>
    <row r="33" spans="1:1" s="2" customFormat="1" ht="18" customHeight="1">
      <c r="A33" s="170" t="s">
        <v>28</v>
      </c>
    </row>
    <row r="34" spans="1:1" s="2" customFormat="1" ht="18" customHeight="1">
      <c r="A34" s="170" t="s">
        <v>29</v>
      </c>
    </row>
    <row r="35" spans="1:1" s="2" customFormat="1" ht="18" customHeight="1">
      <c r="A35" s="170" t="s">
        <v>30</v>
      </c>
    </row>
    <row r="36" spans="1:1" s="2" customFormat="1" ht="18" customHeight="1">
      <c r="A36" s="170" t="s">
        <v>31</v>
      </c>
    </row>
    <row r="37" spans="1:1" s="2" customFormat="1" ht="18" customHeight="1">
      <c r="A37" s="170" t="s">
        <v>32</v>
      </c>
    </row>
    <row r="38" spans="1:1" s="2" customFormat="1" ht="18" customHeight="1">
      <c r="A38" s="170" t="s">
        <v>33</v>
      </c>
    </row>
    <row r="39" spans="1:1" s="2" customFormat="1" ht="18" customHeight="1">
      <c r="A39" s="170" t="s">
        <v>34</v>
      </c>
    </row>
    <row r="40" spans="1:1" s="2" customFormat="1" ht="18" customHeight="1">
      <c r="A40" s="170" t="s">
        <v>35</v>
      </c>
    </row>
    <row r="41" spans="1:1" s="2" customFormat="1" ht="18" customHeight="1">
      <c r="A41" s="170" t="s">
        <v>36</v>
      </c>
    </row>
    <row r="42" spans="1:1" s="2" customFormat="1" ht="18" customHeight="1">
      <c r="A42" s="170" t="s">
        <v>37</v>
      </c>
    </row>
    <row r="43" spans="1:1" s="2" customFormat="1" ht="18" customHeight="1">
      <c r="A43" s="170" t="s">
        <v>38</v>
      </c>
    </row>
    <row r="44" spans="1:1" s="2" customFormat="1" ht="18" customHeight="1">
      <c r="A44" s="170" t="s">
        <v>39</v>
      </c>
    </row>
    <row r="45" spans="1:1" s="2" customFormat="1" ht="18" customHeight="1">
      <c r="A45" s="170" t="s">
        <v>40</v>
      </c>
    </row>
    <row r="46" spans="1:1" s="2" customFormat="1" ht="18" customHeight="1">
      <c r="A46" s="170" t="s">
        <v>41</v>
      </c>
    </row>
    <row r="47" spans="1:1" s="2" customFormat="1" ht="18" customHeight="1">
      <c r="A47" s="170" t="s">
        <v>42</v>
      </c>
    </row>
    <row r="48" spans="1:1" s="2" customFormat="1" ht="18" customHeight="1">
      <c r="A48" s="170" t="s">
        <v>43</v>
      </c>
    </row>
    <row r="49" spans="1:1" s="2" customFormat="1" ht="18" customHeight="1">
      <c r="A49" s="170" t="s">
        <v>44</v>
      </c>
    </row>
    <row r="50" spans="1:1" s="2" customFormat="1" ht="18" customHeight="1">
      <c r="A50" s="170" t="s">
        <v>45</v>
      </c>
    </row>
    <row r="51" spans="1:1" s="2" customFormat="1" ht="18" customHeight="1">
      <c r="A51" s="170" t="s">
        <v>46</v>
      </c>
    </row>
    <row r="52" spans="1:1" s="2" customFormat="1" ht="18" customHeight="1">
      <c r="A52" s="170" t="s">
        <v>47</v>
      </c>
    </row>
    <row r="53" spans="1:1" s="2" customFormat="1" ht="18" customHeight="1">
      <c r="A53" s="170" t="s">
        <v>48</v>
      </c>
    </row>
    <row r="54" spans="1:1" s="2" customFormat="1" ht="18" customHeight="1">
      <c r="A54" s="170" t="s">
        <v>49</v>
      </c>
    </row>
    <row r="55" spans="1:1" s="2" customFormat="1" ht="18" customHeight="1">
      <c r="A55" s="170" t="s">
        <v>50</v>
      </c>
    </row>
    <row r="56" spans="1:1" s="2" customFormat="1" ht="18" customHeight="1">
      <c r="A56" s="170" t="s">
        <v>51</v>
      </c>
    </row>
    <row r="57" spans="1:1" s="2" customFormat="1" ht="18" customHeight="1">
      <c r="A57" s="170" t="s">
        <v>52</v>
      </c>
    </row>
    <row r="58" spans="1:1" s="2" customFormat="1" ht="18" customHeight="1">
      <c r="A58" s="170" t="s">
        <v>53</v>
      </c>
    </row>
    <row r="59" spans="1:1" s="2" customFormat="1" ht="18" customHeight="1">
      <c r="A59" s="170" t="s">
        <v>54</v>
      </c>
    </row>
    <row r="60" spans="1:1" s="2" customFormat="1" ht="18" customHeight="1">
      <c r="A60" s="170" t="s">
        <v>55</v>
      </c>
    </row>
    <row r="61" spans="1:1" s="2" customFormat="1" ht="18" customHeight="1">
      <c r="A61" s="170" t="s">
        <v>56</v>
      </c>
    </row>
    <row r="62" spans="1:1" s="2" customFormat="1" ht="18" customHeight="1">
      <c r="A62" s="170" t="s">
        <v>57</v>
      </c>
    </row>
    <row r="63" spans="1:1" s="2" customFormat="1" ht="18" customHeight="1">
      <c r="A63" s="170" t="s">
        <v>58</v>
      </c>
    </row>
    <row r="64" spans="1:1" s="2" customFormat="1" ht="18" customHeight="1">
      <c r="A64" s="170" t="s">
        <v>59</v>
      </c>
    </row>
    <row r="65" spans="1:1" s="2" customFormat="1" ht="18" customHeight="1">
      <c r="A65" s="170" t="s">
        <v>60</v>
      </c>
    </row>
    <row r="66" spans="1:1" s="2" customFormat="1" ht="18" customHeight="1">
      <c r="A66" s="170" t="s">
        <v>61</v>
      </c>
    </row>
    <row r="67" spans="1:1" s="2" customFormat="1" ht="18" customHeight="1">
      <c r="A67" s="170" t="s">
        <v>62</v>
      </c>
    </row>
    <row r="68" spans="1:1" s="2" customFormat="1" ht="18" customHeight="1">
      <c r="A68" s="170" t="s">
        <v>63</v>
      </c>
    </row>
    <row r="69" spans="1:1" s="2" customFormat="1" ht="18" customHeight="1">
      <c r="A69" s="170" t="s">
        <v>64</v>
      </c>
    </row>
    <row r="70" spans="1:1" s="2" customFormat="1" ht="18" customHeight="1">
      <c r="A70" s="170" t="s">
        <v>65</v>
      </c>
    </row>
    <row r="71" spans="1:1" s="2" customFormat="1" ht="18" customHeight="1">
      <c r="A71" s="170" t="s">
        <v>66</v>
      </c>
    </row>
    <row r="72" spans="1:1" s="2" customFormat="1" ht="18" customHeight="1">
      <c r="A72" s="170" t="s">
        <v>67</v>
      </c>
    </row>
    <row r="73" spans="1:1" s="2" customFormat="1" ht="18" customHeight="1">
      <c r="A73" s="170" t="s">
        <v>68</v>
      </c>
    </row>
    <row r="74" spans="1:1" s="2" customFormat="1" ht="18" customHeight="1">
      <c r="A74" s="170" t="s">
        <v>69</v>
      </c>
    </row>
    <row r="75" spans="1:1" s="2" customFormat="1" ht="15">
      <c r="A75" s="170" t="s">
        <v>70</v>
      </c>
    </row>
  </sheetData>
  <hyperlinks>
    <hyperlink ref="A2" location="'1'!A1" display="Table 1: SEBI Registered Market Intermediaries/Institutions"/>
    <hyperlink ref="A3" location="'2'!A1" display="Table 2: Company-Wise Capital Raised through Public and Rights Issues (Equity)"/>
    <hyperlink ref="A4" location="'3'!A1" display="Table 3: Offers closed during the month under SEBI (SAST), 2011"/>
    <hyperlink ref="A5" location="'4'!A1" display="Table 4: Trends in Open Offers"/>
    <hyperlink ref="A6" location="'5'!A1" display="Table 5A: Consolidated Resource Mobilisation through Primary Market"/>
    <hyperlink ref="A8" location="'7'!A1" display="Table 7: Industry-wise Classification of Capital Raised through Public and Rights Issues (Equity)"/>
    <hyperlink ref="A9" location="'8'!A1" display="Table 8: Sector-wise and Region-wise Distribution of Capital Mobilised through Public and Rights Issues (Equity)"/>
    <hyperlink ref="A10" location="'9'!A1" display="Table 9: Size-wise Classification of Capital Raised through Public and Rights Issues (Equity)"/>
    <hyperlink ref="A11" location="'10'!A1" display="Table 10: Capital Raised by Listed Companies from the Primary Market through QIPs"/>
    <hyperlink ref="A12" location="'11'!A1" display="Table 11: Preferential Allotments Listed at BSE and NSE"/>
    <hyperlink ref="A13" location="'12'!A1" display="Table 12: Private Placement of Corporate Debt Reported to BSE and NSE"/>
    <hyperlink ref="A14" location="'13'!A1" display="Table 13: Trends in Settled Trades in the Corporate Debt Market"/>
    <hyperlink ref="A15" location="'14'!A1" display="Table 14: Ratings Assigned for Long-term Corporate Debt Securities (Maturity &gt;= 1 year)"/>
    <hyperlink ref="A16" location="'15'!A1" display="Table 15: Review of Accepted Ratings of Corporate Debt Securities (Maturity &gt;= 1 year)"/>
    <hyperlink ref="A17" location="'16'!A1" display="Table 16: Distribution of Turnover on Cash Segments of Exchanges"/>
    <hyperlink ref="A18" location="'17'!A1" display="Table 17: Trends in Cash Segment of BSE"/>
    <hyperlink ref="A19" location="'18'!A1" display="Table 18: Trends in Cash Segment of NSE"/>
    <hyperlink ref="A20" location="'19'!A1" display="Table 19: Trends in Cash Segment of MSEI"/>
    <hyperlink ref="A21" location="'20'!A1" display="Table 20: City-wise Distribution of Turnover on Cash Segments"/>
    <hyperlink ref="A22" location="'21'!A1" display="Table 21: Category-wise Share of Turnover in Cash Segment of BSE"/>
    <hyperlink ref="A23" location="'22'!A1" display="Table 22: Category-wise Share of Turnover in Cash Segment of NSE"/>
    <hyperlink ref="A24" location="'23'!A1" display="Table 23: Category-wise Share of Turnover in Cash Segment of MSEI"/>
    <hyperlink ref="A25" location="'24'!A1" display="Table 24: Component Stocks: S&amp;P BSE Sensex"/>
    <hyperlink ref="A26" location="'25'!A1" display="Table 25: Component Stocks: Nifty 50 Index"/>
    <hyperlink ref="A27" location="'26'!A1" display="Table 26: Component Stock: SX 40 Index"/>
    <hyperlink ref="A28" location="'27'!A1" display="Table 27: Advances/Declines in Cash Segment"/>
    <hyperlink ref="A29" location="'28'!A1" display="Table 28: Trading Frequency in Cash Segment"/>
    <hyperlink ref="A30" location="'29'!A1" display="Table 29: Daily Volatility of Major Indices"/>
    <hyperlink ref="A31" location="'30'!A1" display="Table 30: Percentage Share of Top ‘N’ Securities/Members in Turnover of Cash Segment"/>
    <hyperlink ref="A32" location="'31'!A1" display="Table 31: Settlement Statistics for Cash Segment of BSE"/>
    <hyperlink ref="A33" location="'32'!A1" display="Table 32: Settlement Statistics for Cash Segment of NSE "/>
    <hyperlink ref="A34" location="'33'!A1" display="Table 33: Settlement Statistics for Cash Segment of MSEI "/>
    <hyperlink ref="A35" location="'34'!A1" display="Table 34: Trends in Equity Derivatives Segment at BSE (Turnover in Notional Value) "/>
    <hyperlink ref="A36" location="'35'!A1" display="Table 35: Trends in Equity Derivatives Segment at NSE (Turnover in Notional Value) "/>
    <hyperlink ref="A37" location="'36'!A1" display="Table 36: Settlement Statistics in Equity Derivatives Segment at BSE and NSE"/>
    <hyperlink ref="A38" location="'37'!A1" display="Table 37: Category-wise Share of Turnover &amp; Open Interest in Equity Derivative Segment of BSE"/>
    <hyperlink ref="A39" location="'38'!A1" display="Table 38: Category-wise Share of Turnover &amp; Open Interest in Equity Derivative Segment of NSE"/>
    <hyperlink ref="A40" location="'39'!A1" display="Table 39: Instrument-wise Turnover in Index Derivatives at BSE"/>
    <hyperlink ref="A41" location="'40'!A1" display="Table 40: Instrument-wise Turnover in Index Derivatives at NSE"/>
    <hyperlink ref="A42" location="'41'!A1" display="Table 41: Trends in Currency Derivatives Segment at BSE"/>
    <hyperlink ref="A43" location="'42'!A1" display="Table 42: Trends in Currency Derivatives Segment at NSE"/>
    <hyperlink ref="A44" location="'43'!A1" display="Table 43: Trends in Currency Derivatives Segment at MSEI"/>
    <hyperlink ref="A45" location="'44'!A1" display="Table 44: Settlement Statistics of Currency Derivatives Segment "/>
    <hyperlink ref="A46" location="'45'!A1" display="Table 45: Instrument-wise Turnover in Currency Futures Segment of BSE"/>
    <hyperlink ref="A47" location="'46'!A1" display="Table 46: Instrument-wise Turnover in Currency Derivatives Segment  of NSE"/>
    <hyperlink ref="A48" location="'47'!A1" display="Table 47: Instrument-wise Turnover in Currency Derivative Segment of MSEI"/>
    <hyperlink ref="A49" location="'48'!A1" display="Table 48: Maturity-wise Turnover in Currency Derivative Segment of BSE"/>
    <hyperlink ref="A50" location="'49'!A1" display="Table 49: Maturity-wise Turnover in Currency Derivative Segment of NSE"/>
    <hyperlink ref="A51" location="'50'!A1" display="Table 50: Maturity-wise Turnover in Currency Derivative Segment of MSEI "/>
    <hyperlink ref="A52" location="'51'!A1" display="Table 51: Trading Statistics of Interest Rate Futures at BSE, NSE and MSEI"/>
    <hyperlink ref="A53" location="'52'!A1" display="Table 52: Settlement Statistics in Interest Rate Futures at BSE, NSE and MSEI"/>
    <hyperlink ref="A54" location="'53'!A1" display="Table 53: Trends in Foreign Portfolio Investment"/>
    <hyperlink ref="A55" location="'54'!A1" display="Table 54: Notional Value of Offshore Derivative Instruments (ODIs) Vs Assets Under Custody (AUC) of FPIs"/>
    <hyperlink ref="A56" location="'55'!A1" display="Table 55: Assets under the Custody of Custodians"/>
    <hyperlink ref="A57" location="'56'!A1" display="Table 56: Cumulative Sectoral  Investment of Foreign Venture Capital Investors (FVCIs)"/>
    <hyperlink ref="A58" location="'57'!A1" display="Table 57: Trends in Resource Mobilization by Mutual Funds "/>
    <hyperlink ref="A59" location="'58'!A1" display="Table 58: Scheme-wise Statistics of Mutual Funds"/>
    <hyperlink ref="A60" location="'59'!A1" display="Table 59: Trends in Transactions on Stock Exchanges by Mutual Funds"/>
    <hyperlink ref="A61" location="'60'!A1" display="Table 60: Assets Managed by Portfolio Managers"/>
    <hyperlink ref="A62" location="'61'!A1" display="Table 61: Progress Report of NSDL &amp; CDSl as on end of Month (Listed Companies)"/>
    <hyperlink ref="A63" location="'62'!A1" display="Table 62: Progress of Dematerialisation at NSDL and CDSL (Listed and Unlisted Companies)"/>
    <hyperlink ref="A64" location="'63'!A1" display="Table 63: Depository Statistics"/>
    <hyperlink ref="A65" location="'64'!A1" display="Table 64: Number of Commodities Permitted and traded at Exchanges"/>
    <hyperlink ref="A66" location="'65'!A1" display="Table 65: Trends in Commodity Indices"/>
    <hyperlink ref="A67" location="'66'!A1" display="Table 66: Trends in Commodity Derivatives at MCX"/>
    <hyperlink ref="A68" location="'67'!A1" display="Table 67: Trends in Commodity Derivatives at NCDEX"/>
    <hyperlink ref="A69" location="'68'!A1" display="Table 68: Trends in  Commodity Derivatives at BSE"/>
    <hyperlink ref="A70" location="'69'!A1" display="Table 69: Trends in Commodity Derivatives at NSE"/>
    <hyperlink ref="A71" location="'70'!A1" display="Table 70: Participant-wise percentage share of turnover in Commodity Futures"/>
    <hyperlink ref="A72" location="'71'!A1" display="Table 71: Commodity-wise Trading Volume and Turnover at MCX"/>
    <hyperlink ref="A73" location="'72'!A1" display="Table 72: Commodity-wise Trading Volume and Turnover at NCDEX"/>
    <hyperlink ref="A74" location="'73'!A1" display="Table 73: Commodity-wise Trading Volume and Turnover at ICEX, NSE and BSE"/>
    <hyperlink ref="A75" location="'74'!A1" display="Table 74: Macro Economic Indicators"/>
    <hyperlink ref="A7" location="'6'!A1" display="Table 6: Capital Raised from the Primary Market through  Public and Rights Issues (Equity and Debt)"/>
  </hyperlinks>
  <printOptions horizontalCentered="1"/>
  <pageMargins left="0.23622047244094491" right="0.23622047244094491" top="0.31496062992125984" bottom="0.39370078740157483" header="0.31496062992125984" footer="0.31496062992125984"/>
  <pageSetup paperSize="9" scale="90" fitToHeight="0" orientation="portrait" useFirstPageNumber="1"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pageSetUpPr fitToPage="1"/>
  </sheetPr>
  <dimension ref="A1:J64"/>
  <sheetViews>
    <sheetView workbookViewId="0">
      <selection sqref="A1:C1"/>
    </sheetView>
  </sheetViews>
  <sheetFormatPr defaultRowHeight="15"/>
  <cols>
    <col min="1" max="1" width="48" customWidth="1"/>
    <col min="2" max="2" width="12.28515625" customWidth="1"/>
    <col min="3" max="3" width="11.28515625" style="18" bestFit="1" customWidth="1"/>
    <col min="10" max="10" width="20.42578125" customWidth="1"/>
  </cols>
  <sheetData>
    <row r="1" spans="1:10">
      <c r="A1" s="1184" t="s">
        <v>1</v>
      </c>
      <c r="B1" s="1185"/>
      <c r="C1" s="1186"/>
    </row>
    <row r="2" spans="1:10">
      <c r="A2" s="558" t="s">
        <v>1407</v>
      </c>
      <c r="B2" s="559" t="s">
        <v>518</v>
      </c>
      <c r="C2" s="560">
        <v>45535</v>
      </c>
    </row>
    <row r="3" spans="1:10">
      <c r="A3" s="213" t="s">
        <v>687</v>
      </c>
      <c r="B3" s="214">
        <v>3</v>
      </c>
      <c r="C3" s="214">
        <v>3</v>
      </c>
      <c r="D3" s="18"/>
      <c r="F3" s="4"/>
      <c r="G3" s="4"/>
      <c r="H3" s="4"/>
      <c r="I3" s="4"/>
      <c r="J3" s="4"/>
    </row>
    <row r="4" spans="1:10">
      <c r="A4" s="213" t="s">
        <v>688</v>
      </c>
      <c r="B4" s="214">
        <v>3</v>
      </c>
      <c r="C4" s="214">
        <v>3</v>
      </c>
      <c r="D4" s="18"/>
      <c r="F4" s="4"/>
      <c r="G4" s="4"/>
      <c r="H4" s="4"/>
      <c r="I4" s="4"/>
      <c r="J4" s="4"/>
    </row>
    <row r="5" spans="1:10">
      <c r="A5" s="213" t="s">
        <v>689</v>
      </c>
      <c r="B5" s="214">
        <v>3</v>
      </c>
      <c r="C5" s="214">
        <v>3</v>
      </c>
      <c r="D5" s="18"/>
      <c r="F5" s="4"/>
      <c r="G5" s="4"/>
      <c r="H5" s="4"/>
      <c r="I5" s="4"/>
      <c r="J5" s="4"/>
    </row>
    <row r="6" spans="1:10">
      <c r="A6" s="213" t="s">
        <v>690</v>
      </c>
      <c r="B6" s="214">
        <v>4</v>
      </c>
      <c r="C6" s="214">
        <v>4</v>
      </c>
      <c r="D6" s="18"/>
      <c r="F6" s="4"/>
      <c r="G6" s="4"/>
      <c r="H6" s="4"/>
      <c r="I6" s="4"/>
      <c r="J6" s="4"/>
    </row>
    <row r="7" spans="1:10">
      <c r="A7" s="1183" t="s">
        <v>1416</v>
      </c>
      <c r="B7" s="1183"/>
      <c r="C7" s="1183"/>
      <c r="D7" s="18"/>
      <c r="F7" s="4"/>
      <c r="G7" s="4"/>
      <c r="H7" s="4"/>
      <c r="I7" s="4"/>
      <c r="J7" s="4"/>
    </row>
    <row r="8" spans="1:10">
      <c r="A8" s="415" t="s">
        <v>1397</v>
      </c>
      <c r="B8" s="414">
        <v>1269</v>
      </c>
      <c r="C8" s="414">
        <v>1232</v>
      </c>
      <c r="D8" s="18"/>
      <c r="F8" s="4"/>
      <c r="G8" s="4"/>
      <c r="H8" s="4"/>
      <c r="I8" s="4"/>
      <c r="J8" s="4"/>
    </row>
    <row r="9" spans="1:10">
      <c r="A9" s="415" t="s">
        <v>1398</v>
      </c>
      <c r="B9" s="414">
        <v>1212</v>
      </c>
      <c r="C9" s="414">
        <v>1212</v>
      </c>
      <c r="D9" s="18"/>
      <c r="F9" s="4"/>
      <c r="G9" s="4"/>
      <c r="H9" s="4"/>
      <c r="I9" s="4"/>
      <c r="J9" s="4"/>
    </row>
    <row r="10" spans="1:10">
      <c r="A10" s="415" t="s">
        <v>1399</v>
      </c>
      <c r="B10" s="414">
        <v>295</v>
      </c>
      <c r="C10" s="414">
        <v>290</v>
      </c>
      <c r="D10" s="18"/>
      <c r="F10" s="4"/>
      <c r="G10" s="4"/>
      <c r="H10" s="4"/>
      <c r="I10" s="4"/>
      <c r="J10" s="4"/>
    </row>
    <row r="11" spans="1:10">
      <c r="A11" s="1183" t="s">
        <v>1417</v>
      </c>
      <c r="B11" s="1183"/>
      <c r="C11" s="1183"/>
      <c r="D11" s="18"/>
      <c r="F11" s="4"/>
      <c r="G11" s="4"/>
      <c r="H11" s="4"/>
      <c r="I11" s="4"/>
      <c r="J11" s="4"/>
    </row>
    <row r="12" spans="1:10">
      <c r="A12" s="415" t="s">
        <v>1397</v>
      </c>
      <c r="B12" s="409">
        <v>903</v>
      </c>
      <c r="C12" s="409">
        <v>883</v>
      </c>
      <c r="D12" s="18"/>
      <c r="F12" s="4"/>
      <c r="G12" s="4"/>
      <c r="H12" s="4"/>
      <c r="I12" s="4"/>
      <c r="J12" s="216"/>
    </row>
    <row r="13" spans="1:10">
      <c r="A13" s="415" t="s">
        <v>1398</v>
      </c>
      <c r="B13" s="414">
        <v>1138</v>
      </c>
      <c r="C13" s="414">
        <v>1147</v>
      </c>
      <c r="D13" s="18"/>
      <c r="J13" s="217"/>
    </row>
    <row r="14" spans="1:10">
      <c r="A14" s="415" t="s">
        <v>1399</v>
      </c>
      <c r="B14" s="409">
        <v>274</v>
      </c>
      <c r="C14" s="409">
        <v>269</v>
      </c>
      <c r="D14" s="18"/>
      <c r="J14" s="217"/>
    </row>
    <row r="15" spans="1:10">
      <c r="A15" s="1183" t="s">
        <v>1418</v>
      </c>
      <c r="B15" s="1183"/>
      <c r="C15" s="1183"/>
      <c r="D15" s="18"/>
      <c r="J15" s="217"/>
    </row>
    <row r="16" spans="1:10">
      <c r="A16" s="415" t="s">
        <v>1397</v>
      </c>
      <c r="B16" s="409">
        <v>560</v>
      </c>
      <c r="C16" s="409">
        <v>557</v>
      </c>
      <c r="D16" s="18"/>
      <c r="J16" s="217"/>
    </row>
    <row r="17" spans="1:10">
      <c r="A17" s="415" t="s">
        <v>1398</v>
      </c>
      <c r="B17" s="409">
        <v>754</v>
      </c>
      <c r="C17" s="409">
        <v>756</v>
      </c>
      <c r="D17" s="18"/>
      <c r="J17" s="217"/>
    </row>
    <row r="18" spans="1:10">
      <c r="A18" s="415" t="s">
        <v>1399</v>
      </c>
      <c r="B18" s="409">
        <v>470</v>
      </c>
      <c r="C18" s="409">
        <v>465</v>
      </c>
      <c r="D18" s="18"/>
      <c r="J18" s="217"/>
    </row>
    <row r="19" spans="1:10">
      <c r="A19" s="1183" t="s">
        <v>1419</v>
      </c>
      <c r="B19" s="1183"/>
      <c r="C19" s="1183"/>
      <c r="D19" s="18"/>
    </row>
    <row r="20" spans="1:10">
      <c r="A20" s="415" t="s">
        <v>1397</v>
      </c>
      <c r="B20" s="409">
        <v>280</v>
      </c>
      <c r="C20" s="409">
        <v>281</v>
      </c>
      <c r="D20" s="18"/>
    </row>
    <row r="21" spans="1:10">
      <c r="A21" s="415" t="s">
        <v>1398</v>
      </c>
      <c r="B21" s="409">
        <v>271</v>
      </c>
      <c r="C21" s="409">
        <v>279</v>
      </c>
      <c r="D21" s="18"/>
    </row>
    <row r="22" spans="1:10">
      <c r="A22" s="415" t="s">
        <v>1399</v>
      </c>
      <c r="B22" s="409">
        <v>14</v>
      </c>
      <c r="C22" s="409">
        <v>14</v>
      </c>
      <c r="D22" s="18"/>
    </row>
    <row r="23" spans="1:10">
      <c r="A23" s="1183" t="s">
        <v>1420</v>
      </c>
      <c r="B23" s="1183"/>
      <c r="C23" s="1183"/>
      <c r="D23" s="18"/>
    </row>
    <row r="24" spans="1:10">
      <c r="A24" s="415" t="s">
        <v>1400</v>
      </c>
      <c r="B24" s="409">
        <v>546</v>
      </c>
      <c r="C24" s="409">
        <v>541</v>
      </c>
      <c r="D24" s="18"/>
    </row>
    <row r="25" spans="1:10">
      <c r="A25" s="415" t="s">
        <v>1401</v>
      </c>
      <c r="B25" s="409">
        <v>250</v>
      </c>
      <c r="C25" s="409">
        <v>234</v>
      </c>
      <c r="D25" s="18"/>
    </row>
    <row r="26" spans="1:10">
      <c r="A26" s="415" t="s">
        <v>1402</v>
      </c>
      <c r="B26" s="409">
        <v>98</v>
      </c>
      <c r="C26" s="409">
        <v>98</v>
      </c>
      <c r="D26" s="18"/>
    </row>
    <row r="27" spans="1:10">
      <c r="A27" s="415" t="s">
        <v>1403</v>
      </c>
      <c r="B27" s="409">
        <v>288</v>
      </c>
      <c r="C27" s="409">
        <v>291</v>
      </c>
      <c r="D27" s="18"/>
    </row>
    <row r="28" spans="1:10">
      <c r="A28" s="415" t="s">
        <v>1404</v>
      </c>
      <c r="B28" s="409">
        <v>352</v>
      </c>
      <c r="C28" s="409">
        <v>366</v>
      </c>
      <c r="D28" s="18"/>
    </row>
    <row r="29" spans="1:10">
      <c r="A29" s="1183" t="s">
        <v>1421</v>
      </c>
      <c r="B29" s="1183"/>
      <c r="C29" s="1183"/>
      <c r="D29" s="18"/>
    </row>
    <row r="30" spans="1:10">
      <c r="A30" s="415" t="s">
        <v>1397</v>
      </c>
      <c r="B30" s="414">
        <v>1092</v>
      </c>
      <c r="C30" s="414">
        <v>1072</v>
      </c>
      <c r="D30" s="18"/>
    </row>
    <row r="31" spans="1:10">
      <c r="A31" s="415" t="s">
        <v>1398</v>
      </c>
      <c r="B31" s="414">
        <v>1093</v>
      </c>
      <c r="C31" s="414">
        <v>1095</v>
      </c>
      <c r="D31" s="18"/>
    </row>
    <row r="32" spans="1:10">
      <c r="A32" s="415" t="s">
        <v>1399</v>
      </c>
      <c r="B32" s="409">
        <v>270</v>
      </c>
      <c r="C32" s="409">
        <v>265</v>
      </c>
      <c r="D32" s="18"/>
    </row>
    <row r="33" spans="1:4">
      <c r="A33" s="1183" t="s">
        <v>1422</v>
      </c>
      <c r="B33" s="1183"/>
      <c r="C33" s="1183"/>
      <c r="D33" s="331"/>
    </row>
    <row r="34" spans="1:4">
      <c r="A34" s="413" t="s">
        <v>1405</v>
      </c>
      <c r="B34" s="409">
        <v>281</v>
      </c>
      <c r="C34" s="409">
        <v>261</v>
      </c>
      <c r="D34" s="331"/>
    </row>
    <row r="35" spans="1:4">
      <c r="A35" s="413" t="s">
        <v>1406</v>
      </c>
      <c r="B35" s="409">
        <v>580</v>
      </c>
      <c r="C35" s="409">
        <v>569</v>
      </c>
      <c r="D35" s="331"/>
    </row>
    <row r="36" spans="1:4" s="331" customFormat="1">
      <c r="A36" s="1183" t="s">
        <v>1408</v>
      </c>
      <c r="B36" s="1183"/>
      <c r="C36" s="1183"/>
    </row>
    <row r="37" spans="1:4">
      <c r="A37" s="415" t="s">
        <v>691</v>
      </c>
      <c r="B37" s="416">
        <v>11219</v>
      </c>
      <c r="C37" s="416">
        <v>11527</v>
      </c>
      <c r="D37" s="18"/>
    </row>
    <row r="38" spans="1:4">
      <c r="A38" s="415" t="s">
        <v>692</v>
      </c>
      <c r="B38" s="416">
        <v>17</v>
      </c>
      <c r="C38" s="416">
        <v>17</v>
      </c>
      <c r="D38" s="18"/>
    </row>
    <row r="39" spans="1:4">
      <c r="A39" s="415" t="s">
        <v>693</v>
      </c>
      <c r="B39" s="416">
        <v>17</v>
      </c>
      <c r="C39" s="416">
        <v>17</v>
      </c>
      <c r="D39" s="18"/>
    </row>
    <row r="40" spans="1:4">
      <c r="A40" s="557" t="s">
        <v>694</v>
      </c>
      <c r="B40" s="409">
        <v>2</v>
      </c>
      <c r="C40" s="409">
        <v>2</v>
      </c>
      <c r="D40" s="18"/>
    </row>
    <row r="41" spans="1:4">
      <c r="A41" s="413" t="s">
        <v>695</v>
      </c>
      <c r="B41" s="409">
        <v>220</v>
      </c>
      <c r="C41" s="409">
        <v>225</v>
      </c>
      <c r="D41" s="18"/>
    </row>
    <row r="42" spans="1:4">
      <c r="A42" s="413" t="s">
        <v>696</v>
      </c>
      <c r="B42" s="409">
        <v>57</v>
      </c>
      <c r="C42" s="409">
        <v>57</v>
      </c>
      <c r="D42" s="18"/>
    </row>
    <row r="43" spans="1:4">
      <c r="A43" s="413" t="s">
        <v>697</v>
      </c>
      <c r="B43" s="409">
        <v>25</v>
      </c>
      <c r="C43" s="409">
        <v>26</v>
      </c>
      <c r="D43" s="18"/>
    </row>
    <row r="44" spans="1:4">
      <c r="A44" s="218" t="s">
        <v>698</v>
      </c>
      <c r="B44" s="215">
        <v>7</v>
      </c>
      <c r="C44" s="409">
        <v>7</v>
      </c>
      <c r="D44" s="18"/>
    </row>
    <row r="45" spans="1:4">
      <c r="A45" s="413" t="s">
        <v>699</v>
      </c>
      <c r="B45" s="409">
        <v>5</v>
      </c>
      <c r="C45" s="409">
        <v>5</v>
      </c>
      <c r="D45" s="18"/>
    </row>
    <row r="46" spans="1:4">
      <c r="A46" s="413" t="s">
        <v>700</v>
      </c>
      <c r="B46" s="409">
        <v>75</v>
      </c>
      <c r="C46" s="409">
        <v>76</v>
      </c>
      <c r="D46" s="18"/>
    </row>
    <row r="47" spans="1:4">
      <c r="A47" s="413" t="s">
        <v>701</v>
      </c>
      <c r="B47" s="416">
        <v>167</v>
      </c>
      <c r="C47" s="409">
        <v>166</v>
      </c>
      <c r="D47" s="331"/>
    </row>
    <row r="48" spans="1:4">
      <c r="A48" s="413" t="s">
        <v>702</v>
      </c>
      <c r="B48" s="416">
        <v>279</v>
      </c>
      <c r="C48" s="416">
        <v>278</v>
      </c>
      <c r="D48" s="331"/>
    </row>
    <row r="49" spans="1:4">
      <c r="A49" s="413" t="s">
        <v>703</v>
      </c>
      <c r="B49" s="416">
        <v>1283</v>
      </c>
      <c r="C49" s="416">
        <v>1362</v>
      </c>
      <c r="D49" s="331"/>
    </row>
    <row r="50" spans="1:4" ht="18" customHeight="1">
      <c r="A50" s="218" t="s">
        <v>704</v>
      </c>
      <c r="B50" s="214">
        <v>420</v>
      </c>
      <c r="C50" s="214">
        <v>439</v>
      </c>
      <c r="D50" s="219"/>
    </row>
    <row r="51" spans="1:4" ht="14.25" customHeight="1">
      <c r="A51" s="413" t="s">
        <v>80</v>
      </c>
      <c r="B51" s="414">
        <v>49</v>
      </c>
      <c r="C51" s="409">
        <v>49</v>
      </c>
      <c r="D51" s="219"/>
    </row>
    <row r="52" spans="1:4">
      <c r="A52" s="218" t="s">
        <v>705</v>
      </c>
      <c r="B52" s="214">
        <v>1307</v>
      </c>
      <c r="C52" s="409">
        <v>960</v>
      </c>
      <c r="D52" s="18"/>
    </row>
    <row r="53" spans="1:4">
      <c r="A53" s="218" t="s">
        <v>706</v>
      </c>
      <c r="B53" s="214">
        <v>1191</v>
      </c>
      <c r="C53" s="409">
        <v>1380</v>
      </c>
      <c r="D53" s="18"/>
    </row>
    <row r="54" spans="1:4">
      <c r="A54" s="218" t="s">
        <v>707</v>
      </c>
      <c r="B54" s="215">
        <v>24</v>
      </c>
      <c r="C54" s="409">
        <v>26</v>
      </c>
      <c r="D54" s="18"/>
    </row>
    <row r="55" spans="1:4">
      <c r="A55" s="218" t="s">
        <v>708</v>
      </c>
      <c r="B55" s="215">
        <v>5</v>
      </c>
      <c r="C55" s="409">
        <v>5</v>
      </c>
      <c r="D55" s="18"/>
    </row>
    <row r="56" spans="1:4" s="331" customFormat="1">
      <c r="A56" s="218" t="s">
        <v>888</v>
      </c>
      <c r="B56" s="215">
        <v>0</v>
      </c>
      <c r="C56" s="409">
        <v>1</v>
      </c>
      <c r="D56" s="18"/>
    </row>
    <row r="57" spans="1:4" s="331" customFormat="1">
      <c r="A57" s="218" t="s">
        <v>741</v>
      </c>
      <c r="B57" s="215">
        <v>0</v>
      </c>
      <c r="C57" s="409">
        <v>12</v>
      </c>
      <c r="D57" s="18"/>
    </row>
    <row r="58" spans="1:4" ht="18.75">
      <c r="A58" s="218" t="s">
        <v>709</v>
      </c>
      <c r="B58" s="215">
        <v>0</v>
      </c>
      <c r="C58" s="215">
        <v>0</v>
      </c>
      <c r="D58" s="219"/>
    </row>
    <row r="59" spans="1:4">
      <c r="A59" s="218" t="s">
        <v>710</v>
      </c>
      <c r="B59" s="215">
        <v>2</v>
      </c>
      <c r="C59" s="215">
        <v>2</v>
      </c>
      <c r="D59" s="18"/>
    </row>
    <row r="60" spans="1:4">
      <c r="A60" s="218" t="s">
        <v>711</v>
      </c>
      <c r="B60" s="215">
        <v>1</v>
      </c>
      <c r="C60" s="215">
        <v>1</v>
      </c>
      <c r="D60" s="18"/>
    </row>
    <row r="61" spans="1:4">
      <c r="A61" s="218" t="s">
        <v>712</v>
      </c>
      <c r="B61" s="215">
        <v>3</v>
      </c>
      <c r="C61" s="215">
        <v>3</v>
      </c>
      <c r="D61" s="18"/>
    </row>
    <row r="62" spans="1:4">
      <c r="A62" s="211" t="s">
        <v>713</v>
      </c>
      <c r="B62" s="220"/>
      <c r="D62" s="18"/>
    </row>
    <row r="63" spans="1:4">
      <c r="A63" s="1175"/>
      <c r="B63" s="220"/>
      <c r="D63" s="18"/>
    </row>
    <row r="64" spans="1:4">
      <c r="B64" s="220"/>
      <c r="D64" s="18"/>
    </row>
  </sheetData>
  <mergeCells count="9">
    <mergeCell ref="A36:C36"/>
    <mergeCell ref="A29:C29"/>
    <mergeCell ref="A15:C15"/>
    <mergeCell ref="A33:C33"/>
    <mergeCell ref="A1:C1"/>
    <mergeCell ref="A7:C7"/>
    <mergeCell ref="A11:C11"/>
    <mergeCell ref="A19:C19"/>
    <mergeCell ref="A23:C23"/>
  </mergeCells>
  <printOptions horizontalCentered="1"/>
  <pageMargins left="0.70866141732283472" right="0.70866141732283472" top="0.74803149606299213" bottom="0.74803149606299213" header="0.31496062992125984" footer="0.31496062992125984"/>
  <pageSetup paperSize="9" fitToHeight="0"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pageSetUpPr fitToPage="1"/>
  </sheetPr>
  <dimension ref="A1:Q87"/>
  <sheetViews>
    <sheetView workbookViewId="0">
      <selection sqref="A1:Q1"/>
    </sheetView>
  </sheetViews>
  <sheetFormatPr defaultRowHeight="15"/>
  <cols>
    <col min="1" max="1" width="7.28515625" style="336" customWidth="1"/>
    <col min="2" max="2" width="36.5703125" style="336" customWidth="1"/>
    <col min="3" max="3" width="11.28515625" style="336" customWidth="1"/>
    <col min="4" max="4" width="14.28515625" style="336" customWidth="1"/>
    <col min="5" max="5" width="15.5703125" style="336" customWidth="1"/>
    <col min="6" max="7" width="10" style="1026" customWidth="1"/>
    <col min="8" max="8" width="10.140625" style="1026" customWidth="1"/>
    <col min="9" max="9" width="8.5703125" style="336" customWidth="1"/>
    <col min="10" max="10" width="10.85546875" style="336" customWidth="1"/>
    <col min="11" max="11" width="7.85546875" style="336" customWidth="1"/>
    <col min="12" max="12" width="10" style="336" customWidth="1"/>
    <col min="13" max="15" width="12.42578125" style="336" customWidth="1"/>
    <col min="16" max="16" width="16" style="336" customWidth="1"/>
    <col min="17" max="17" width="12.42578125" style="336" customWidth="1"/>
    <col min="18" max="18" width="8.42578125" style="336" customWidth="1"/>
    <col min="19" max="21" width="9" style="336" customWidth="1"/>
    <col min="22" max="22" width="8" style="336" customWidth="1"/>
    <col min="23" max="23" width="10" style="336" bestFit="1" customWidth="1"/>
    <col min="24" max="26" width="5.5703125" style="336" customWidth="1"/>
    <col min="27" max="27" width="4.5703125" style="336" customWidth="1"/>
    <col min="28" max="16384" width="9.140625" style="336"/>
  </cols>
  <sheetData>
    <row r="1" spans="1:17">
      <c r="A1" s="1187" t="s">
        <v>1391</v>
      </c>
      <c r="B1" s="1188"/>
      <c r="C1" s="1188"/>
      <c r="D1" s="1188"/>
      <c r="E1" s="1188"/>
      <c r="F1" s="1188"/>
      <c r="G1" s="1188"/>
      <c r="H1" s="1188"/>
      <c r="I1" s="1188"/>
      <c r="J1" s="1188"/>
      <c r="K1" s="1188"/>
      <c r="L1" s="1188"/>
      <c r="M1" s="1188"/>
      <c r="N1" s="1188"/>
      <c r="O1" s="1188"/>
      <c r="P1" s="1188"/>
      <c r="Q1" s="1188"/>
    </row>
    <row r="2" spans="1:17">
      <c r="A2" s="1191" t="s">
        <v>82</v>
      </c>
      <c r="B2" s="1193" t="s">
        <v>83</v>
      </c>
      <c r="C2" s="1190" t="s">
        <v>84</v>
      </c>
      <c r="D2" s="1190" t="s">
        <v>85</v>
      </c>
      <c r="E2" s="1190" t="s">
        <v>86</v>
      </c>
      <c r="F2" s="1196" t="s">
        <v>87</v>
      </c>
      <c r="G2" s="1196" t="s">
        <v>88</v>
      </c>
      <c r="H2" s="1196" t="s">
        <v>89</v>
      </c>
      <c r="I2" s="1198" t="s">
        <v>90</v>
      </c>
      <c r="J2" s="1199"/>
      <c r="K2" s="1200"/>
      <c r="L2" s="1190" t="s">
        <v>91</v>
      </c>
      <c r="M2" s="1201" t="s">
        <v>92</v>
      </c>
      <c r="N2" s="1202"/>
      <c r="O2" s="1202"/>
      <c r="P2" s="1202"/>
      <c r="Q2" s="1189" t="s">
        <v>93</v>
      </c>
    </row>
    <row r="3" spans="1:17" ht="45">
      <c r="A3" s="1192"/>
      <c r="B3" s="1194"/>
      <c r="C3" s="1195"/>
      <c r="D3" s="1195"/>
      <c r="E3" s="1195"/>
      <c r="F3" s="1197"/>
      <c r="G3" s="1197"/>
      <c r="H3" s="1197"/>
      <c r="I3" s="445" t="s">
        <v>94</v>
      </c>
      <c r="J3" s="445" t="s">
        <v>95</v>
      </c>
      <c r="K3" s="445" t="s">
        <v>96</v>
      </c>
      <c r="L3" s="1195"/>
      <c r="M3" s="445" t="s">
        <v>97</v>
      </c>
      <c r="N3" s="445" t="s">
        <v>98</v>
      </c>
      <c r="O3" s="445" t="s">
        <v>99</v>
      </c>
      <c r="P3" s="6" t="s">
        <v>100</v>
      </c>
      <c r="Q3" s="1190"/>
    </row>
    <row r="4" spans="1:17">
      <c r="A4" s="1176">
        <v>1</v>
      </c>
      <c r="B4" s="452" t="s">
        <v>845</v>
      </c>
      <c r="C4" s="453">
        <v>45505</v>
      </c>
      <c r="D4" s="452" t="s">
        <v>680</v>
      </c>
      <c r="E4" s="550">
        <v>5040000</v>
      </c>
      <c r="F4" s="1172">
        <v>10</v>
      </c>
      <c r="G4" s="1172">
        <v>48</v>
      </c>
      <c r="H4" s="1172">
        <v>58</v>
      </c>
      <c r="I4" s="455">
        <v>29.231999999999999</v>
      </c>
      <c r="J4" s="455">
        <v>0</v>
      </c>
      <c r="K4" s="455">
        <v>29.231999999999999</v>
      </c>
      <c r="L4" s="455">
        <v>178.65</v>
      </c>
      <c r="M4" s="454">
        <v>2392000</v>
      </c>
      <c r="N4" s="454">
        <v>718000</v>
      </c>
      <c r="O4" s="454">
        <v>1676000</v>
      </c>
      <c r="P4" s="454">
        <v>254000</v>
      </c>
      <c r="Q4" s="550">
        <v>4786000</v>
      </c>
    </row>
    <row r="5" spans="1:17">
      <c r="A5" s="1176">
        <v>2</v>
      </c>
      <c r="B5" s="452" t="s">
        <v>846</v>
      </c>
      <c r="C5" s="453">
        <v>45505</v>
      </c>
      <c r="D5" s="452" t="s">
        <v>680</v>
      </c>
      <c r="E5" s="550">
        <v>2727600</v>
      </c>
      <c r="F5" s="1172">
        <v>10</v>
      </c>
      <c r="G5" s="1172">
        <v>105</v>
      </c>
      <c r="H5" s="1172">
        <v>115</v>
      </c>
      <c r="I5" s="455">
        <v>31.3674</v>
      </c>
      <c r="J5" s="455">
        <v>0</v>
      </c>
      <c r="K5" s="455">
        <v>31.3674</v>
      </c>
      <c r="L5" s="455">
        <v>432.476</v>
      </c>
      <c r="M5" s="454">
        <v>1294800</v>
      </c>
      <c r="N5" s="454">
        <v>388800</v>
      </c>
      <c r="O5" s="454">
        <v>907200</v>
      </c>
      <c r="P5" s="454">
        <v>136800</v>
      </c>
      <c r="Q5" s="550">
        <v>2590800</v>
      </c>
    </row>
    <row r="6" spans="1:17">
      <c r="A6" s="1176">
        <v>3</v>
      </c>
      <c r="B6" s="452" t="s">
        <v>847</v>
      </c>
      <c r="C6" s="453">
        <v>45506</v>
      </c>
      <c r="D6" s="452" t="s">
        <v>680</v>
      </c>
      <c r="E6" s="550">
        <v>5795200</v>
      </c>
      <c r="F6" s="1172">
        <v>10</v>
      </c>
      <c r="G6" s="1172">
        <v>77</v>
      </c>
      <c r="H6" s="1172">
        <v>87</v>
      </c>
      <c r="I6" s="455">
        <v>50.35</v>
      </c>
      <c r="J6" s="455">
        <v>0</v>
      </c>
      <c r="K6" s="455">
        <v>50.35</v>
      </c>
      <c r="L6" s="455">
        <v>191.45</v>
      </c>
      <c r="M6" s="454">
        <v>2688000</v>
      </c>
      <c r="N6" s="454">
        <v>806400</v>
      </c>
      <c r="O6" s="454">
        <v>1881600</v>
      </c>
      <c r="P6" s="454">
        <v>419200</v>
      </c>
      <c r="Q6" s="550">
        <v>5376000</v>
      </c>
    </row>
    <row r="7" spans="1:17">
      <c r="A7" s="1176">
        <v>4</v>
      </c>
      <c r="B7" s="452" t="s">
        <v>848</v>
      </c>
      <c r="C7" s="453">
        <v>45506</v>
      </c>
      <c r="D7" s="452" t="s">
        <v>680</v>
      </c>
      <c r="E7" s="550">
        <v>3900000</v>
      </c>
      <c r="F7" s="1172">
        <v>10</v>
      </c>
      <c r="G7" s="1172">
        <v>49</v>
      </c>
      <c r="H7" s="1172">
        <v>59</v>
      </c>
      <c r="I7" s="455">
        <v>23.01</v>
      </c>
      <c r="J7" s="455">
        <v>0</v>
      </c>
      <c r="K7" s="455">
        <v>23.01</v>
      </c>
      <c r="L7" s="455">
        <v>614.46</v>
      </c>
      <c r="M7" s="454">
        <v>1806000</v>
      </c>
      <c r="N7" s="454">
        <v>544000</v>
      </c>
      <c r="O7" s="454">
        <v>1266000</v>
      </c>
      <c r="P7" s="454">
        <v>284000</v>
      </c>
      <c r="Q7" s="550">
        <v>3616000</v>
      </c>
    </row>
    <row r="8" spans="1:17">
      <c r="A8" s="1176">
        <v>5</v>
      </c>
      <c r="B8" s="452" t="s">
        <v>879</v>
      </c>
      <c r="C8" s="453">
        <v>45510</v>
      </c>
      <c r="D8" s="452" t="s">
        <v>101</v>
      </c>
      <c r="E8" s="454">
        <v>27368143</v>
      </c>
      <c r="F8" s="1172">
        <v>2</v>
      </c>
      <c r="G8" s="1172">
        <v>677</v>
      </c>
      <c r="H8" s="1172">
        <v>679</v>
      </c>
      <c r="I8" s="455">
        <v>680</v>
      </c>
      <c r="J8" s="455">
        <v>1176.7365365000001</v>
      </c>
      <c r="K8" s="455">
        <v>1856.74</v>
      </c>
      <c r="L8" s="455">
        <v>64.64</v>
      </c>
      <c r="M8" s="454">
        <v>20343239</v>
      </c>
      <c r="N8" s="454">
        <v>4068647</v>
      </c>
      <c r="O8" s="454">
        <v>2712431</v>
      </c>
      <c r="P8" s="454">
        <v>243826</v>
      </c>
      <c r="Q8" s="550">
        <v>27124317</v>
      </c>
    </row>
    <row r="9" spans="1:17">
      <c r="A9" s="1176">
        <v>6</v>
      </c>
      <c r="B9" s="452" t="s">
        <v>849</v>
      </c>
      <c r="C9" s="453">
        <v>45510</v>
      </c>
      <c r="D9" s="452" t="s">
        <v>680</v>
      </c>
      <c r="E9" s="550">
        <v>3657000</v>
      </c>
      <c r="F9" s="1172">
        <v>10</v>
      </c>
      <c r="G9" s="1172">
        <v>134</v>
      </c>
      <c r="H9" s="1172">
        <v>144</v>
      </c>
      <c r="I9" s="455">
        <v>52.660800000000002</v>
      </c>
      <c r="J9" s="455">
        <v>0</v>
      </c>
      <c r="K9" s="455">
        <v>52.660800000000002</v>
      </c>
      <c r="L9" s="455">
        <v>173.5376</v>
      </c>
      <c r="M9" s="454">
        <v>1736000</v>
      </c>
      <c r="N9" s="454">
        <v>522000</v>
      </c>
      <c r="O9" s="454">
        <v>1216000</v>
      </c>
      <c r="P9" s="454">
        <v>183000</v>
      </c>
      <c r="Q9" s="550">
        <v>3474000</v>
      </c>
    </row>
    <row r="10" spans="1:17">
      <c r="A10" s="1176">
        <v>7</v>
      </c>
      <c r="B10" s="452" t="s">
        <v>850</v>
      </c>
      <c r="C10" s="453">
        <v>45510</v>
      </c>
      <c r="D10" s="452" t="s">
        <v>680</v>
      </c>
      <c r="E10" s="550">
        <v>1978800</v>
      </c>
      <c r="F10" s="1172">
        <v>10</v>
      </c>
      <c r="G10" s="1172">
        <v>95</v>
      </c>
      <c r="H10" s="1172">
        <v>105</v>
      </c>
      <c r="I10" s="455">
        <v>20.7774</v>
      </c>
      <c r="J10" s="455">
        <v>0</v>
      </c>
      <c r="K10" s="455">
        <v>20.7774</v>
      </c>
      <c r="L10" s="455">
        <v>247.9195</v>
      </c>
      <c r="M10" s="454">
        <v>938400</v>
      </c>
      <c r="N10" s="454">
        <v>282000</v>
      </c>
      <c r="O10" s="454">
        <v>658800</v>
      </c>
      <c r="P10" s="454">
        <v>99600</v>
      </c>
      <c r="Q10" s="550">
        <v>1879200</v>
      </c>
    </row>
    <row r="11" spans="1:17">
      <c r="A11" s="1176">
        <v>8</v>
      </c>
      <c r="B11" s="452" t="s">
        <v>851</v>
      </c>
      <c r="C11" s="453">
        <v>45510</v>
      </c>
      <c r="D11" s="452" t="s">
        <v>680</v>
      </c>
      <c r="E11" s="550">
        <v>6285000</v>
      </c>
      <c r="F11" s="1172">
        <v>10</v>
      </c>
      <c r="G11" s="1172">
        <v>28</v>
      </c>
      <c r="H11" s="1172">
        <v>38</v>
      </c>
      <c r="I11" s="455">
        <v>23.882999999999999</v>
      </c>
      <c r="J11" s="455">
        <v>0</v>
      </c>
      <c r="K11" s="455">
        <v>23.882999999999999</v>
      </c>
      <c r="L11" s="455">
        <v>392.75</v>
      </c>
      <c r="M11" s="454">
        <v>2685000</v>
      </c>
      <c r="N11" s="454">
        <v>900000</v>
      </c>
      <c r="O11" s="454">
        <v>2010000</v>
      </c>
      <c r="P11" s="454">
        <v>690000</v>
      </c>
      <c r="Q11" s="550">
        <v>5595000</v>
      </c>
    </row>
    <row r="12" spans="1:17">
      <c r="A12" s="1176">
        <v>9</v>
      </c>
      <c r="B12" s="452" t="s">
        <v>852</v>
      </c>
      <c r="C12" s="453">
        <v>45510</v>
      </c>
      <c r="D12" s="452" t="s">
        <v>680</v>
      </c>
      <c r="E12" s="550">
        <v>6638000</v>
      </c>
      <c r="F12" s="1172">
        <v>10</v>
      </c>
      <c r="G12" s="1172">
        <v>130</v>
      </c>
      <c r="H12" s="1172">
        <v>140</v>
      </c>
      <c r="I12" s="455">
        <v>92.932000000000002</v>
      </c>
      <c r="J12" s="455">
        <v>0</v>
      </c>
      <c r="K12" s="455">
        <v>92.932000000000002</v>
      </c>
      <c r="L12" s="455">
        <v>144.80000000000001</v>
      </c>
      <c r="M12" s="454">
        <v>3018000</v>
      </c>
      <c r="N12" s="454">
        <v>906000</v>
      </c>
      <c r="O12" s="454">
        <v>2114000</v>
      </c>
      <c r="P12" s="454">
        <v>600000</v>
      </c>
      <c r="Q12" s="550">
        <v>6038000</v>
      </c>
    </row>
    <row r="13" spans="1:17">
      <c r="A13" s="1176">
        <v>10</v>
      </c>
      <c r="B13" s="452" t="s">
        <v>853</v>
      </c>
      <c r="C13" s="453">
        <v>45510</v>
      </c>
      <c r="D13" s="452" t="s">
        <v>854</v>
      </c>
      <c r="E13" s="550">
        <v>2658000</v>
      </c>
      <c r="F13" s="1172">
        <v>10</v>
      </c>
      <c r="G13" s="1172">
        <v>11</v>
      </c>
      <c r="H13" s="1172">
        <v>21</v>
      </c>
      <c r="I13" s="455">
        <v>5.5818000000000003</v>
      </c>
      <c r="J13" s="455">
        <v>0</v>
      </c>
      <c r="K13" s="455">
        <v>5.58</v>
      </c>
      <c r="L13" s="455">
        <v>141.32</v>
      </c>
      <c r="M13" s="454">
        <v>0</v>
      </c>
      <c r="N13" s="454">
        <v>1002000</v>
      </c>
      <c r="O13" s="454">
        <v>1518000</v>
      </c>
      <c r="P13" s="451">
        <v>138000</v>
      </c>
      <c r="Q13" s="550">
        <v>2520000</v>
      </c>
    </row>
    <row r="14" spans="1:17">
      <c r="A14" s="1176">
        <v>11</v>
      </c>
      <c r="B14" s="452" t="s">
        <v>880</v>
      </c>
      <c r="C14" s="453">
        <v>45511</v>
      </c>
      <c r="D14" s="452" t="s">
        <v>680</v>
      </c>
      <c r="E14" s="550">
        <v>6318000</v>
      </c>
      <c r="F14" s="1172">
        <v>10</v>
      </c>
      <c r="G14" s="1172">
        <v>100</v>
      </c>
      <c r="H14" s="1172">
        <v>110</v>
      </c>
      <c r="I14" s="455">
        <v>69.498000000000005</v>
      </c>
      <c r="J14" s="455">
        <v>0</v>
      </c>
      <c r="K14" s="455">
        <v>69.498000000000005</v>
      </c>
      <c r="L14" s="455">
        <v>54.48</v>
      </c>
      <c r="M14" s="454">
        <v>3000000</v>
      </c>
      <c r="N14" s="454">
        <v>900000</v>
      </c>
      <c r="O14" s="454">
        <v>2100000</v>
      </c>
      <c r="P14" s="454">
        <v>318000</v>
      </c>
      <c r="Q14" s="550">
        <v>6000000</v>
      </c>
    </row>
    <row r="15" spans="1:17">
      <c r="A15" s="1176">
        <v>12</v>
      </c>
      <c r="B15" s="452" t="s">
        <v>855</v>
      </c>
      <c r="C15" s="453">
        <v>45512</v>
      </c>
      <c r="D15" s="452" t="s">
        <v>101</v>
      </c>
      <c r="E15" s="550">
        <v>31243701</v>
      </c>
      <c r="F15" s="1172">
        <v>5</v>
      </c>
      <c r="G15" s="1172">
        <v>396</v>
      </c>
      <c r="H15" s="1172">
        <v>401</v>
      </c>
      <c r="I15" s="455">
        <v>684.25132609999991</v>
      </c>
      <c r="J15" s="455">
        <v>568.41108399999996</v>
      </c>
      <c r="K15" s="455">
        <v>1252.6600000000001</v>
      </c>
      <c r="L15" s="455">
        <v>15</v>
      </c>
      <c r="M15" s="454">
        <v>15594302</v>
      </c>
      <c r="N15" s="454">
        <v>4678291</v>
      </c>
      <c r="O15" s="454">
        <v>10916012</v>
      </c>
      <c r="P15" s="454">
        <v>55096</v>
      </c>
      <c r="Q15" s="550">
        <v>31188605</v>
      </c>
    </row>
    <row r="16" spans="1:17">
      <c r="A16" s="1176">
        <v>13</v>
      </c>
      <c r="B16" s="452" t="s">
        <v>856</v>
      </c>
      <c r="C16" s="453">
        <v>45512</v>
      </c>
      <c r="D16" s="452" t="s">
        <v>680</v>
      </c>
      <c r="E16" s="550">
        <v>2372400</v>
      </c>
      <c r="F16" s="1172">
        <v>10</v>
      </c>
      <c r="G16" s="1172">
        <v>96</v>
      </c>
      <c r="H16" s="1172">
        <v>106</v>
      </c>
      <c r="I16" s="455">
        <v>25.14744</v>
      </c>
      <c r="J16" s="455">
        <v>0</v>
      </c>
      <c r="K16" s="455">
        <v>25.14744</v>
      </c>
      <c r="L16" s="455">
        <v>194.91</v>
      </c>
      <c r="M16" s="454">
        <v>1102800</v>
      </c>
      <c r="N16" s="454">
        <v>348000</v>
      </c>
      <c r="O16" s="454">
        <v>798000</v>
      </c>
      <c r="P16" s="454">
        <v>123600</v>
      </c>
      <c r="Q16" s="550">
        <v>2248800</v>
      </c>
    </row>
    <row r="17" spans="1:17">
      <c r="A17" s="1176">
        <v>14</v>
      </c>
      <c r="B17" s="452" t="s">
        <v>857</v>
      </c>
      <c r="C17" s="453">
        <v>45513</v>
      </c>
      <c r="D17" s="452" t="s">
        <v>101</v>
      </c>
      <c r="E17" s="550">
        <v>808699624</v>
      </c>
      <c r="F17" s="1172">
        <v>10</v>
      </c>
      <c r="G17" s="1172">
        <v>66</v>
      </c>
      <c r="H17" s="1172">
        <v>76</v>
      </c>
      <c r="I17" s="455">
        <v>5500</v>
      </c>
      <c r="J17" s="455">
        <v>645.55917720000002</v>
      </c>
      <c r="K17" s="455">
        <v>6145.56</v>
      </c>
      <c r="L17" s="455">
        <v>4.8600000000000003</v>
      </c>
      <c r="M17" s="454">
        <v>605926893</v>
      </c>
      <c r="N17" s="454">
        <v>121185378</v>
      </c>
      <c r="O17" s="454">
        <v>80790252</v>
      </c>
      <c r="P17" s="454">
        <v>797101</v>
      </c>
      <c r="Q17" s="550">
        <v>807902523</v>
      </c>
    </row>
    <row r="18" spans="1:17">
      <c r="A18" s="1176">
        <v>15</v>
      </c>
      <c r="B18" s="452" t="s">
        <v>858</v>
      </c>
      <c r="C18" s="453">
        <v>45513</v>
      </c>
      <c r="D18" s="452" t="s">
        <v>680</v>
      </c>
      <c r="E18" s="550">
        <v>7800000</v>
      </c>
      <c r="F18" s="1172">
        <v>1</v>
      </c>
      <c r="G18" s="1172">
        <v>23</v>
      </c>
      <c r="H18" s="1172">
        <v>24</v>
      </c>
      <c r="I18" s="1173">
        <v>18.72</v>
      </c>
      <c r="J18" s="1173">
        <v>0</v>
      </c>
      <c r="K18" s="1173">
        <v>18.72</v>
      </c>
      <c r="L18" s="1173">
        <v>302.98</v>
      </c>
      <c r="M18" s="550">
        <v>3690000</v>
      </c>
      <c r="N18" s="550">
        <v>1116000</v>
      </c>
      <c r="O18" s="550">
        <v>2598000</v>
      </c>
      <c r="P18" s="550">
        <v>396000</v>
      </c>
      <c r="Q18" s="550">
        <v>7404000</v>
      </c>
    </row>
    <row r="19" spans="1:17">
      <c r="A19" s="1176">
        <v>16</v>
      </c>
      <c r="B19" s="452" t="s">
        <v>859</v>
      </c>
      <c r="C19" s="453">
        <v>45513</v>
      </c>
      <c r="D19" s="452" t="s">
        <v>102</v>
      </c>
      <c r="E19" s="454">
        <v>76611591</v>
      </c>
      <c r="F19" s="1172">
        <v>1</v>
      </c>
      <c r="G19" s="1172">
        <v>5.26</v>
      </c>
      <c r="H19" s="1172">
        <v>6.26</v>
      </c>
      <c r="I19" s="1173">
        <v>47.958855965999994</v>
      </c>
      <c r="J19" s="1173">
        <v>0</v>
      </c>
      <c r="K19" s="1173">
        <v>47.958855965999994</v>
      </c>
      <c r="L19" s="1173">
        <v>1.02</v>
      </c>
      <c r="M19" s="550">
        <v>0</v>
      </c>
      <c r="N19" s="550">
        <v>0</v>
      </c>
      <c r="O19" s="550">
        <v>0</v>
      </c>
      <c r="P19" s="550">
        <v>0</v>
      </c>
      <c r="Q19" s="550">
        <v>0</v>
      </c>
    </row>
    <row r="20" spans="1:17">
      <c r="A20" s="1176">
        <v>17</v>
      </c>
      <c r="B20" s="452" t="s">
        <v>860</v>
      </c>
      <c r="C20" s="453">
        <v>45513</v>
      </c>
      <c r="D20" s="452" t="s">
        <v>102</v>
      </c>
      <c r="E20" s="454">
        <v>5327656</v>
      </c>
      <c r="F20" s="1172">
        <v>10</v>
      </c>
      <c r="G20" s="1172">
        <v>20</v>
      </c>
      <c r="H20" s="1172">
        <v>30</v>
      </c>
      <c r="I20" s="1173">
        <v>15.982968</v>
      </c>
      <c r="J20" s="1173">
        <v>0</v>
      </c>
      <c r="K20" s="1173">
        <v>15.98</v>
      </c>
      <c r="L20" s="1173">
        <v>1.18</v>
      </c>
      <c r="M20" s="550">
        <v>0</v>
      </c>
      <c r="N20" s="550">
        <v>0</v>
      </c>
      <c r="O20" s="550">
        <v>0</v>
      </c>
      <c r="P20" s="550">
        <v>0</v>
      </c>
      <c r="Q20" s="550">
        <v>0</v>
      </c>
    </row>
    <row r="21" spans="1:17">
      <c r="A21" s="1176">
        <v>18</v>
      </c>
      <c r="B21" s="452" t="s">
        <v>861</v>
      </c>
      <c r="C21" s="453">
        <v>45513</v>
      </c>
      <c r="D21" s="452" t="s">
        <v>854</v>
      </c>
      <c r="E21" s="550">
        <v>6836400</v>
      </c>
      <c r="F21" s="1172">
        <v>10</v>
      </c>
      <c r="G21" s="1172">
        <v>98</v>
      </c>
      <c r="H21" s="1172">
        <v>108</v>
      </c>
      <c r="I21" s="1173">
        <v>73.833119999999994</v>
      </c>
      <c r="J21" s="1173">
        <v>0</v>
      </c>
      <c r="K21" s="1173">
        <v>73.83</v>
      </c>
      <c r="L21" s="1173">
        <v>300.02999999999997</v>
      </c>
      <c r="M21" s="550">
        <v>3234000</v>
      </c>
      <c r="N21" s="550">
        <v>973200</v>
      </c>
      <c r="O21" s="550">
        <v>2275200</v>
      </c>
      <c r="P21" s="550">
        <v>354000</v>
      </c>
      <c r="Q21" s="550">
        <v>6482400</v>
      </c>
    </row>
    <row r="22" spans="1:17">
      <c r="A22" s="1176">
        <v>19</v>
      </c>
      <c r="B22" s="452" t="s">
        <v>881</v>
      </c>
      <c r="C22" s="453">
        <v>45516</v>
      </c>
      <c r="D22" s="452" t="s">
        <v>102</v>
      </c>
      <c r="E22" s="454">
        <v>4241321</v>
      </c>
      <c r="F22" s="1172">
        <v>10</v>
      </c>
      <c r="G22" s="1172">
        <v>66</v>
      </c>
      <c r="H22" s="1172">
        <v>76</v>
      </c>
      <c r="I22" s="1173">
        <v>32.234039600000003</v>
      </c>
      <c r="J22" s="1173">
        <v>0</v>
      </c>
      <c r="K22" s="1173">
        <v>32.229999999999997</v>
      </c>
      <c r="L22" s="1173">
        <v>2.82</v>
      </c>
      <c r="M22" s="550">
        <v>0</v>
      </c>
      <c r="N22" s="550">
        <v>0</v>
      </c>
      <c r="O22" s="550">
        <v>0</v>
      </c>
      <c r="P22" s="550">
        <v>0</v>
      </c>
      <c r="Q22" s="550">
        <v>0</v>
      </c>
    </row>
    <row r="23" spans="1:17">
      <c r="A23" s="1176">
        <v>20</v>
      </c>
      <c r="B23" s="452" t="s">
        <v>862</v>
      </c>
      <c r="C23" s="453">
        <v>45517</v>
      </c>
      <c r="D23" s="452" t="s">
        <v>101</v>
      </c>
      <c r="E23" s="550">
        <v>90194432</v>
      </c>
      <c r="F23" s="1172">
        <v>2</v>
      </c>
      <c r="G23" s="1172">
        <v>463</v>
      </c>
      <c r="H23" s="1172">
        <v>465</v>
      </c>
      <c r="I23" s="1173">
        <v>1666</v>
      </c>
      <c r="J23" s="1173">
        <v>2527.7275844999999</v>
      </c>
      <c r="K23" s="1173">
        <v>4193.7299999999996</v>
      </c>
      <c r="L23" s="1173">
        <v>12.51</v>
      </c>
      <c r="M23" s="550">
        <v>67592381</v>
      </c>
      <c r="N23" s="550">
        <v>13518476</v>
      </c>
      <c r="O23" s="550">
        <v>9012317</v>
      </c>
      <c r="P23" s="550">
        <v>71258</v>
      </c>
      <c r="Q23" s="550">
        <v>90123174</v>
      </c>
    </row>
    <row r="24" spans="1:17">
      <c r="A24" s="1176">
        <v>21</v>
      </c>
      <c r="B24" s="452" t="s">
        <v>863</v>
      </c>
      <c r="C24" s="453">
        <v>45517</v>
      </c>
      <c r="D24" s="452" t="s">
        <v>101</v>
      </c>
      <c r="E24" s="550">
        <v>25608512</v>
      </c>
      <c r="F24" s="1172">
        <v>1</v>
      </c>
      <c r="G24" s="1172">
        <v>107</v>
      </c>
      <c r="H24" s="1172">
        <v>108</v>
      </c>
      <c r="I24" s="1173">
        <v>0</v>
      </c>
      <c r="J24" s="1173">
        <v>276.57192959999998</v>
      </c>
      <c r="K24" s="1173">
        <v>276.57192959999998</v>
      </c>
      <c r="L24" s="1173">
        <v>176.63</v>
      </c>
      <c r="M24" s="550">
        <v>19206385</v>
      </c>
      <c r="N24" s="550">
        <v>3841276</v>
      </c>
      <c r="O24" s="550">
        <v>2560851</v>
      </c>
      <c r="P24" s="550">
        <v>0</v>
      </c>
      <c r="Q24" s="550">
        <v>25608512</v>
      </c>
    </row>
    <row r="25" spans="1:17">
      <c r="A25" s="1176">
        <v>22</v>
      </c>
      <c r="B25" s="452" t="s">
        <v>864</v>
      </c>
      <c r="C25" s="453">
        <v>45520</v>
      </c>
      <c r="D25" s="452" t="s">
        <v>680</v>
      </c>
      <c r="E25" s="550">
        <v>4564000</v>
      </c>
      <c r="F25" s="1172">
        <v>10</v>
      </c>
      <c r="G25" s="1172">
        <v>48</v>
      </c>
      <c r="H25" s="1172">
        <v>58</v>
      </c>
      <c r="I25" s="1173">
        <v>26.4712</v>
      </c>
      <c r="J25" s="1173">
        <v>0</v>
      </c>
      <c r="K25" s="1173">
        <v>26.4712</v>
      </c>
      <c r="L25" s="1173">
        <v>706.53</v>
      </c>
      <c r="M25" s="550">
        <v>2162000</v>
      </c>
      <c r="N25" s="550">
        <v>652000</v>
      </c>
      <c r="O25" s="550">
        <v>1518000</v>
      </c>
      <c r="P25" s="550">
        <v>232000</v>
      </c>
      <c r="Q25" s="550">
        <v>4332000</v>
      </c>
    </row>
    <row r="26" spans="1:17">
      <c r="A26" s="1176">
        <v>23</v>
      </c>
      <c r="B26" s="452" t="s">
        <v>865</v>
      </c>
      <c r="C26" s="453">
        <v>45524</v>
      </c>
      <c r="D26" s="452" t="s">
        <v>101</v>
      </c>
      <c r="E26" s="550">
        <v>10000800</v>
      </c>
      <c r="F26" s="1172">
        <v>10</v>
      </c>
      <c r="G26" s="1172">
        <v>150</v>
      </c>
      <c r="H26" s="1172">
        <v>160</v>
      </c>
      <c r="I26" s="1173">
        <v>103.99679999999999</v>
      </c>
      <c r="J26" s="1173">
        <v>56.015999999999998</v>
      </c>
      <c r="K26" s="1173">
        <v>160.0128</v>
      </c>
      <c r="L26" s="1173">
        <v>114.98</v>
      </c>
      <c r="M26" s="550">
        <v>5000400</v>
      </c>
      <c r="N26" s="550">
        <v>1500120</v>
      </c>
      <c r="O26" s="550">
        <v>3500280</v>
      </c>
      <c r="P26" s="550">
        <v>0</v>
      </c>
      <c r="Q26" s="550">
        <v>10000800</v>
      </c>
    </row>
    <row r="27" spans="1:17">
      <c r="A27" s="1176">
        <v>24</v>
      </c>
      <c r="B27" s="452" t="s">
        <v>866</v>
      </c>
      <c r="C27" s="453">
        <v>45524</v>
      </c>
      <c r="D27" s="452" t="s">
        <v>680</v>
      </c>
      <c r="E27" s="550">
        <v>2048400</v>
      </c>
      <c r="F27" s="1172">
        <v>10</v>
      </c>
      <c r="G27" s="1172">
        <v>240</v>
      </c>
      <c r="H27" s="1172">
        <v>250</v>
      </c>
      <c r="I27" s="1173">
        <v>51.21</v>
      </c>
      <c r="J27" s="1173">
        <v>0</v>
      </c>
      <c r="K27" s="1173">
        <v>51.21</v>
      </c>
      <c r="L27" s="1173">
        <v>415.62</v>
      </c>
      <c r="M27" s="550">
        <v>972000</v>
      </c>
      <c r="N27" s="550">
        <v>292200</v>
      </c>
      <c r="O27" s="550">
        <v>681600</v>
      </c>
      <c r="P27" s="550">
        <v>102600</v>
      </c>
      <c r="Q27" s="550">
        <v>1945800</v>
      </c>
    </row>
    <row r="28" spans="1:17">
      <c r="A28" s="1176">
        <v>25</v>
      </c>
      <c r="B28" s="452" t="s">
        <v>867</v>
      </c>
      <c r="C28" s="453">
        <v>45524</v>
      </c>
      <c r="D28" s="452" t="s">
        <v>680</v>
      </c>
      <c r="E28" s="550">
        <v>2880000</v>
      </c>
      <c r="F28" s="1172">
        <v>10</v>
      </c>
      <c r="G28" s="1172">
        <v>95</v>
      </c>
      <c r="H28" s="1172">
        <v>105</v>
      </c>
      <c r="I28" s="1173">
        <v>30.24</v>
      </c>
      <c r="J28" s="1173">
        <v>0</v>
      </c>
      <c r="K28" s="1173">
        <v>30.24</v>
      </c>
      <c r="L28" s="1173">
        <v>276.17</v>
      </c>
      <c r="M28" s="550">
        <v>1364400</v>
      </c>
      <c r="N28" s="550">
        <v>410400</v>
      </c>
      <c r="O28" s="550">
        <v>956400</v>
      </c>
      <c r="P28" s="550">
        <v>148800</v>
      </c>
      <c r="Q28" s="550">
        <v>2731200</v>
      </c>
    </row>
    <row r="29" spans="1:17">
      <c r="A29" s="1176">
        <v>26</v>
      </c>
      <c r="B29" s="452" t="s">
        <v>868</v>
      </c>
      <c r="C29" s="453">
        <v>45525</v>
      </c>
      <c r="D29" s="452" t="s">
        <v>680</v>
      </c>
      <c r="E29" s="550">
        <v>1302000</v>
      </c>
      <c r="F29" s="1172">
        <v>10</v>
      </c>
      <c r="G29" s="1172">
        <v>81</v>
      </c>
      <c r="H29" s="1172">
        <v>91</v>
      </c>
      <c r="I29" s="1173">
        <v>11.8482</v>
      </c>
      <c r="J29" s="1173">
        <v>0</v>
      </c>
      <c r="K29" s="1173">
        <v>11.8482</v>
      </c>
      <c r="L29" s="1173">
        <v>48.69</v>
      </c>
      <c r="M29" s="550">
        <v>0</v>
      </c>
      <c r="N29" s="550">
        <v>357600</v>
      </c>
      <c r="O29" s="550">
        <v>878400</v>
      </c>
      <c r="P29" s="550">
        <v>66000</v>
      </c>
      <c r="Q29" s="550">
        <v>1236000</v>
      </c>
    </row>
    <row r="30" spans="1:17">
      <c r="A30" s="1176">
        <v>27</v>
      </c>
      <c r="B30" s="452" t="s">
        <v>869</v>
      </c>
      <c r="C30" s="453">
        <v>45525</v>
      </c>
      <c r="D30" s="452" t="s">
        <v>102</v>
      </c>
      <c r="E30" s="454">
        <v>2997375</v>
      </c>
      <c r="F30" s="1172">
        <v>5</v>
      </c>
      <c r="G30" s="1172">
        <v>60</v>
      </c>
      <c r="H30" s="1172">
        <v>65</v>
      </c>
      <c r="I30" s="1173">
        <v>19.482937499999998</v>
      </c>
      <c r="J30" s="1173">
        <v>0</v>
      </c>
      <c r="K30" s="1173">
        <v>19.482937499999998</v>
      </c>
      <c r="L30" s="1173">
        <v>1.78</v>
      </c>
      <c r="M30" s="550">
        <v>0</v>
      </c>
      <c r="N30" s="550">
        <v>0</v>
      </c>
      <c r="O30" s="550">
        <v>0</v>
      </c>
      <c r="P30" s="550">
        <v>0</v>
      </c>
      <c r="Q30" s="550">
        <v>0</v>
      </c>
    </row>
    <row r="31" spans="1:17">
      <c r="A31" s="1176">
        <v>28</v>
      </c>
      <c r="B31" s="452" t="s">
        <v>870</v>
      </c>
      <c r="C31" s="453">
        <v>45525</v>
      </c>
      <c r="D31" s="452" t="s">
        <v>102</v>
      </c>
      <c r="E31" s="454">
        <v>15543125</v>
      </c>
      <c r="F31" s="1172">
        <v>2.5</v>
      </c>
      <c r="G31" s="1172">
        <v>28.5</v>
      </c>
      <c r="H31" s="1172">
        <v>31</v>
      </c>
      <c r="I31" s="1173">
        <v>48.183687499999998</v>
      </c>
      <c r="J31" s="1173">
        <v>0</v>
      </c>
      <c r="K31" s="1173">
        <v>48.183687499999998</v>
      </c>
      <c r="L31" s="1173">
        <v>2.13</v>
      </c>
      <c r="M31" s="550">
        <v>0</v>
      </c>
      <c r="N31" s="550">
        <v>0</v>
      </c>
      <c r="O31" s="550">
        <v>0</v>
      </c>
      <c r="P31" s="550">
        <v>0</v>
      </c>
      <c r="Q31" s="550">
        <v>0</v>
      </c>
    </row>
    <row r="32" spans="1:17">
      <c r="A32" s="1176">
        <v>29</v>
      </c>
      <c r="B32" s="452" t="s">
        <v>871</v>
      </c>
      <c r="C32" s="453">
        <v>45525</v>
      </c>
      <c r="D32" s="452" t="s">
        <v>102</v>
      </c>
      <c r="E32" s="454">
        <v>21466956</v>
      </c>
      <c r="F32" s="1172">
        <v>10</v>
      </c>
      <c r="G32" s="1172">
        <v>12.5</v>
      </c>
      <c r="H32" s="1172">
        <v>22.5</v>
      </c>
      <c r="I32" s="1173">
        <v>48.300651000000002</v>
      </c>
      <c r="J32" s="1173">
        <v>0</v>
      </c>
      <c r="K32" s="1173">
        <v>48.300651000000002</v>
      </c>
      <c r="L32" s="1173">
        <v>1.58</v>
      </c>
      <c r="M32" s="550">
        <v>0</v>
      </c>
      <c r="N32" s="550">
        <v>0</v>
      </c>
      <c r="O32" s="550">
        <v>0</v>
      </c>
      <c r="P32" s="550">
        <v>0</v>
      </c>
      <c r="Q32" s="550">
        <v>0</v>
      </c>
    </row>
    <row r="33" spans="1:17">
      <c r="A33" s="1176">
        <v>30</v>
      </c>
      <c r="B33" s="452" t="s">
        <v>882</v>
      </c>
      <c r="C33" s="453">
        <v>45525</v>
      </c>
      <c r="D33" s="452" t="s">
        <v>102</v>
      </c>
      <c r="E33" s="454">
        <v>33484611</v>
      </c>
      <c r="F33" s="1172">
        <v>1</v>
      </c>
      <c r="G33" s="1172">
        <v>12.4</v>
      </c>
      <c r="H33" s="1172">
        <v>13.4</v>
      </c>
      <c r="I33" s="1173">
        <v>44.869378740000002</v>
      </c>
      <c r="J33" s="1173">
        <v>0</v>
      </c>
      <c r="K33" s="1173">
        <v>44.869378740000002</v>
      </c>
      <c r="L33" s="1173">
        <v>1</v>
      </c>
      <c r="M33" s="550">
        <v>0</v>
      </c>
      <c r="N33" s="550">
        <v>0</v>
      </c>
      <c r="O33" s="550">
        <v>0</v>
      </c>
      <c r="P33" s="550">
        <v>0</v>
      </c>
      <c r="Q33" s="550">
        <v>0</v>
      </c>
    </row>
    <row r="34" spans="1:17">
      <c r="A34" s="1176">
        <v>31</v>
      </c>
      <c r="B34" s="452" t="s">
        <v>883</v>
      </c>
      <c r="C34" s="453">
        <v>45525</v>
      </c>
      <c r="D34" s="452" t="s">
        <v>854</v>
      </c>
      <c r="E34" s="550">
        <v>1608000</v>
      </c>
      <c r="F34" s="1172">
        <v>10</v>
      </c>
      <c r="G34" s="1172">
        <v>15</v>
      </c>
      <c r="H34" s="1172">
        <v>25</v>
      </c>
      <c r="I34" s="1173">
        <v>4.0199999999999996</v>
      </c>
      <c r="J34" s="1173">
        <v>0</v>
      </c>
      <c r="K34" s="1173">
        <v>4.0199999999999996</v>
      </c>
      <c r="L34" s="1173">
        <v>151.47</v>
      </c>
      <c r="M34" s="550">
        <v>0</v>
      </c>
      <c r="N34" s="550">
        <v>444000</v>
      </c>
      <c r="O34" s="550">
        <v>1080000</v>
      </c>
      <c r="P34" s="550">
        <v>84000</v>
      </c>
      <c r="Q34" s="550">
        <v>1524000</v>
      </c>
    </row>
    <row r="35" spans="1:17" s="448" customFormat="1">
      <c r="A35" s="1176">
        <v>32</v>
      </c>
      <c r="B35" s="456" t="s">
        <v>872</v>
      </c>
      <c r="C35" s="457">
        <v>45530</v>
      </c>
      <c r="D35" s="456" t="s">
        <v>680</v>
      </c>
      <c r="E35" s="551">
        <v>3051200</v>
      </c>
      <c r="F35" s="1172">
        <v>10</v>
      </c>
      <c r="G35" s="1172">
        <v>70</v>
      </c>
      <c r="H35" s="1172">
        <v>80</v>
      </c>
      <c r="I35" s="1173">
        <v>24.409600000000001</v>
      </c>
      <c r="J35" s="1173">
        <v>0</v>
      </c>
      <c r="K35" s="1173">
        <v>24.409600000000001</v>
      </c>
      <c r="L35" s="1173">
        <v>650.29</v>
      </c>
      <c r="M35" s="550">
        <v>896000</v>
      </c>
      <c r="N35" s="550">
        <v>800000</v>
      </c>
      <c r="O35" s="550">
        <v>1200000</v>
      </c>
      <c r="P35" s="550">
        <v>155200</v>
      </c>
      <c r="Q35" s="550">
        <v>2896000</v>
      </c>
    </row>
    <row r="36" spans="1:17">
      <c r="A36" s="1176">
        <v>33</v>
      </c>
      <c r="B36" s="452" t="s">
        <v>873</v>
      </c>
      <c r="C36" s="453">
        <v>45530</v>
      </c>
      <c r="D36" s="452" t="s">
        <v>680</v>
      </c>
      <c r="E36" s="550">
        <v>4680000</v>
      </c>
      <c r="F36" s="1172">
        <v>10</v>
      </c>
      <c r="G36" s="1172">
        <v>70</v>
      </c>
      <c r="H36" s="1172">
        <v>80</v>
      </c>
      <c r="I36" s="1173">
        <v>37.44</v>
      </c>
      <c r="J36" s="1173">
        <v>0</v>
      </c>
      <c r="K36" s="1173">
        <v>37.44</v>
      </c>
      <c r="L36" s="1173">
        <v>389.83</v>
      </c>
      <c r="M36" s="550">
        <v>2220800</v>
      </c>
      <c r="N36" s="550">
        <v>667200</v>
      </c>
      <c r="O36" s="550">
        <v>1556800</v>
      </c>
      <c r="P36" s="550">
        <v>235200</v>
      </c>
      <c r="Q36" s="550">
        <v>4444800</v>
      </c>
    </row>
    <row r="37" spans="1:17">
      <c r="A37" s="1176">
        <v>34</v>
      </c>
      <c r="B37" s="452" t="s">
        <v>874</v>
      </c>
      <c r="C37" s="453">
        <v>45530</v>
      </c>
      <c r="D37" s="452" t="s">
        <v>101</v>
      </c>
      <c r="E37" s="550">
        <v>6672169</v>
      </c>
      <c r="F37" s="1172">
        <v>10</v>
      </c>
      <c r="G37" s="1172">
        <v>890</v>
      </c>
      <c r="H37" s="1172">
        <v>900</v>
      </c>
      <c r="I37" s="1173">
        <v>200</v>
      </c>
      <c r="J37" s="1173">
        <v>400.2867</v>
      </c>
      <c r="K37" s="1173">
        <v>600.29</v>
      </c>
      <c r="L37" s="1173">
        <v>97.26</v>
      </c>
      <c r="M37" s="550">
        <v>3323814</v>
      </c>
      <c r="N37" s="550">
        <v>997145</v>
      </c>
      <c r="O37" s="550">
        <v>2326671</v>
      </c>
      <c r="P37" s="550">
        <v>24539</v>
      </c>
      <c r="Q37" s="550">
        <v>6647630</v>
      </c>
    </row>
    <row r="38" spans="1:17">
      <c r="A38" s="1176">
        <v>35</v>
      </c>
      <c r="B38" s="452" t="s">
        <v>875</v>
      </c>
      <c r="C38" s="453">
        <v>45530</v>
      </c>
      <c r="D38" s="452" t="s">
        <v>102</v>
      </c>
      <c r="E38" s="454">
        <v>174516545</v>
      </c>
      <c r="F38" s="1172">
        <v>1</v>
      </c>
      <c r="G38" s="1172">
        <v>1.7999999999999998</v>
      </c>
      <c r="H38" s="1172">
        <v>2.8</v>
      </c>
      <c r="I38" s="1173">
        <v>48.864632599999993</v>
      </c>
      <c r="J38" s="1173">
        <v>0</v>
      </c>
      <c r="K38" s="1173">
        <v>48.864632599999993</v>
      </c>
      <c r="L38" s="1173">
        <v>1</v>
      </c>
      <c r="M38" s="550">
        <v>0</v>
      </c>
      <c r="N38" s="550">
        <v>0</v>
      </c>
      <c r="O38" s="550">
        <v>0</v>
      </c>
      <c r="P38" s="550">
        <v>0</v>
      </c>
      <c r="Q38" s="550">
        <v>0</v>
      </c>
    </row>
    <row r="39" spans="1:17">
      <c r="A39" s="1176">
        <v>36</v>
      </c>
      <c r="B39" s="452" t="s">
        <v>884</v>
      </c>
      <c r="C39" s="453">
        <v>45532</v>
      </c>
      <c r="D39" s="452" t="s">
        <v>680</v>
      </c>
      <c r="E39" s="550">
        <v>2798400</v>
      </c>
      <c r="F39" s="1172">
        <v>10</v>
      </c>
      <c r="G39" s="1172">
        <v>76</v>
      </c>
      <c r="H39" s="1172">
        <v>86</v>
      </c>
      <c r="I39" s="1173">
        <v>17.626560000000001</v>
      </c>
      <c r="J39" s="1173">
        <v>6.4396800000000001</v>
      </c>
      <c r="K39" s="1173">
        <v>24.066240000000001</v>
      </c>
      <c r="L39" s="1173">
        <v>525.85</v>
      </c>
      <c r="M39" s="550">
        <v>0</v>
      </c>
      <c r="N39" s="550">
        <v>1328000</v>
      </c>
      <c r="O39" s="550">
        <v>1329600</v>
      </c>
      <c r="P39" s="550">
        <v>140800</v>
      </c>
      <c r="Q39" s="550">
        <v>2657600</v>
      </c>
    </row>
    <row r="40" spans="1:17">
      <c r="A40" s="1176">
        <v>37</v>
      </c>
      <c r="B40" s="452" t="s">
        <v>876</v>
      </c>
      <c r="C40" s="453">
        <v>45532</v>
      </c>
      <c r="D40" s="452" t="s">
        <v>680</v>
      </c>
      <c r="E40" s="550">
        <v>1325000</v>
      </c>
      <c r="F40" s="1172">
        <v>10</v>
      </c>
      <c r="G40" s="1172">
        <v>111</v>
      </c>
      <c r="H40" s="1172">
        <v>121</v>
      </c>
      <c r="I40" s="1173">
        <v>16.032499999999999</v>
      </c>
      <c r="J40" s="1173">
        <v>0</v>
      </c>
      <c r="K40" s="1173">
        <v>16.032499999999999</v>
      </c>
      <c r="L40" s="1173">
        <v>124.67</v>
      </c>
      <c r="M40" s="550">
        <v>0</v>
      </c>
      <c r="N40" s="550">
        <v>609000</v>
      </c>
      <c r="O40" s="550">
        <v>649000</v>
      </c>
      <c r="P40" s="550">
        <v>67000</v>
      </c>
      <c r="Q40" s="550">
        <v>1258000</v>
      </c>
    </row>
    <row r="41" spans="1:17">
      <c r="A41" s="1176">
        <v>38</v>
      </c>
      <c r="B41" s="452" t="s">
        <v>877</v>
      </c>
      <c r="C41" s="453">
        <v>45532</v>
      </c>
      <c r="D41" s="452" t="s">
        <v>101</v>
      </c>
      <c r="E41" s="550">
        <v>10425242</v>
      </c>
      <c r="F41" s="1172">
        <v>10</v>
      </c>
      <c r="G41" s="1172">
        <v>196</v>
      </c>
      <c r="H41" s="1172">
        <v>206</v>
      </c>
      <c r="I41" s="1173">
        <v>119.9999852</v>
      </c>
      <c r="J41" s="1173">
        <v>94.76</v>
      </c>
      <c r="K41" s="1173">
        <v>214.75998519999999</v>
      </c>
      <c r="L41" s="1173">
        <v>163.44999999999999</v>
      </c>
      <c r="M41" s="550">
        <v>5212620</v>
      </c>
      <c r="N41" s="550">
        <v>1563787</v>
      </c>
      <c r="O41" s="550">
        <v>3648835</v>
      </c>
      <c r="P41" s="550">
        <v>0</v>
      </c>
      <c r="Q41" s="550">
        <v>10425242</v>
      </c>
    </row>
    <row r="42" spans="1:17">
      <c r="A42" s="1176">
        <v>39</v>
      </c>
      <c r="B42" s="452" t="s">
        <v>885</v>
      </c>
      <c r="C42" s="453">
        <v>45533</v>
      </c>
      <c r="D42" s="452" t="s">
        <v>102</v>
      </c>
      <c r="E42" s="454">
        <v>36568731</v>
      </c>
      <c r="F42" s="1172">
        <v>1</v>
      </c>
      <c r="G42" s="1172">
        <v>817</v>
      </c>
      <c r="H42" s="1172">
        <v>818</v>
      </c>
      <c r="I42" s="1173">
        <v>2991.3221957999999</v>
      </c>
      <c r="J42" s="1173">
        <v>0</v>
      </c>
      <c r="K42" s="1173">
        <v>2991.3221957999999</v>
      </c>
      <c r="L42" s="1173">
        <v>1.58</v>
      </c>
      <c r="M42" s="550">
        <v>0</v>
      </c>
      <c r="N42" s="550">
        <v>0</v>
      </c>
      <c r="O42" s="550">
        <v>0</v>
      </c>
      <c r="P42" s="550">
        <v>0</v>
      </c>
      <c r="Q42" s="550">
        <v>0</v>
      </c>
    </row>
    <row r="43" spans="1:17">
      <c r="A43" s="1176">
        <v>40</v>
      </c>
      <c r="B43" s="395" t="s">
        <v>878</v>
      </c>
      <c r="C43" s="552">
        <v>45533</v>
      </c>
      <c r="D43" s="452" t="s">
        <v>854</v>
      </c>
      <c r="E43" s="553">
        <v>1024800</v>
      </c>
      <c r="F43" s="1172">
        <v>10</v>
      </c>
      <c r="G43" s="1172">
        <v>107</v>
      </c>
      <c r="H43" s="1172">
        <v>117</v>
      </c>
      <c r="I43" s="1173">
        <v>11.990159999999999</v>
      </c>
      <c r="J43" s="1173">
        <v>0</v>
      </c>
      <c r="K43" s="1173">
        <v>12</v>
      </c>
      <c r="L43" s="1173">
        <v>465.12</v>
      </c>
      <c r="M43" s="550">
        <v>0</v>
      </c>
      <c r="N43" s="550">
        <v>397200</v>
      </c>
      <c r="O43" s="550">
        <v>576000</v>
      </c>
      <c r="P43" s="550">
        <v>51600</v>
      </c>
      <c r="Q43" s="550">
        <v>973200</v>
      </c>
    </row>
    <row r="44" spans="1:17">
      <c r="A44" s="1176">
        <v>41</v>
      </c>
      <c r="B44" s="555" t="s">
        <v>886</v>
      </c>
      <c r="C44" s="556">
        <v>45534</v>
      </c>
      <c r="D44" s="215" t="s">
        <v>102</v>
      </c>
      <c r="E44" s="553">
        <v>210000000</v>
      </c>
      <c r="F44" s="1172">
        <v>1</v>
      </c>
      <c r="G44" s="1172">
        <v>1.33</v>
      </c>
      <c r="H44" s="1172">
        <v>2.33</v>
      </c>
      <c r="I44" s="1173">
        <v>48.93</v>
      </c>
      <c r="J44" s="1173">
        <v>0</v>
      </c>
      <c r="K44" s="1173">
        <v>48.93</v>
      </c>
      <c r="L44" s="1173">
        <v>1.1599999999999999</v>
      </c>
      <c r="M44" s="550">
        <v>0</v>
      </c>
      <c r="N44" s="550">
        <v>0</v>
      </c>
      <c r="O44" s="550">
        <v>0</v>
      </c>
      <c r="P44" s="550">
        <v>0</v>
      </c>
      <c r="Q44" s="550">
        <v>0</v>
      </c>
    </row>
    <row r="45" spans="1:17">
      <c r="A45" s="1176">
        <v>42</v>
      </c>
      <c r="B45" s="555" t="s">
        <v>887</v>
      </c>
      <c r="C45" s="552">
        <v>45534</v>
      </c>
      <c r="D45" s="554" t="s">
        <v>854</v>
      </c>
      <c r="E45" s="553">
        <v>1011200</v>
      </c>
      <c r="F45" s="1172">
        <v>10</v>
      </c>
      <c r="G45" s="1172">
        <v>74</v>
      </c>
      <c r="H45" s="1172">
        <v>84</v>
      </c>
      <c r="I45" s="1173">
        <v>8.4940800000000003</v>
      </c>
      <c r="J45" s="1173">
        <v>0</v>
      </c>
      <c r="K45" s="1173">
        <v>8.49</v>
      </c>
      <c r="L45" s="1173">
        <v>368.1</v>
      </c>
      <c r="M45" s="550">
        <v>0</v>
      </c>
      <c r="N45" s="550">
        <v>480000</v>
      </c>
      <c r="O45" s="550">
        <v>480000</v>
      </c>
      <c r="P45" s="550">
        <v>51200</v>
      </c>
      <c r="Q45" s="550">
        <v>960000</v>
      </c>
    </row>
    <row r="47" spans="1:17">
      <c r="A47" s="8" t="s">
        <v>103</v>
      </c>
    </row>
    <row r="48" spans="1:17">
      <c r="A48" s="9" t="s">
        <v>104</v>
      </c>
    </row>
    <row r="49" spans="1:4">
      <c r="A49" s="258" t="s">
        <v>143</v>
      </c>
    </row>
    <row r="51" spans="1:4">
      <c r="C51" s="201"/>
      <c r="D51" s="460"/>
    </row>
    <row r="52" spans="1:4">
      <c r="C52" s="449"/>
      <c r="D52" s="459"/>
    </row>
    <row r="53" spans="1:4">
      <c r="C53" s="450"/>
      <c r="D53" s="459"/>
    </row>
    <row r="54" spans="1:4">
      <c r="C54" s="201"/>
      <c r="D54" s="458"/>
    </row>
    <row r="55" spans="1:4">
      <c r="C55" s="461"/>
      <c r="D55" s="458"/>
    </row>
    <row r="56" spans="1:4">
      <c r="C56" s="450"/>
      <c r="D56" s="459"/>
    </row>
    <row r="57" spans="1:4">
      <c r="C57" s="201"/>
      <c r="D57" s="458"/>
    </row>
    <row r="58" spans="1:4">
      <c r="C58" s="201"/>
      <c r="D58" s="458"/>
    </row>
    <row r="59" spans="1:4">
      <c r="C59" s="201"/>
      <c r="D59" s="460"/>
    </row>
    <row r="60" spans="1:4">
      <c r="C60" s="450"/>
      <c r="D60" s="459"/>
    </row>
    <row r="61" spans="1:4">
      <c r="C61" s="450"/>
      <c r="D61" s="459"/>
    </row>
    <row r="62" spans="1:4">
      <c r="C62" s="201"/>
      <c r="D62" s="458"/>
    </row>
    <row r="63" spans="1:4">
      <c r="C63" s="450"/>
      <c r="D63" s="459"/>
    </row>
    <row r="64" spans="1:4">
      <c r="C64" s="450"/>
      <c r="D64" s="459"/>
    </row>
    <row r="65" spans="3:4">
      <c r="C65" s="201"/>
      <c r="D65" s="460"/>
    </row>
    <row r="66" spans="3:4">
      <c r="C66" s="201"/>
      <c r="D66" s="460"/>
    </row>
    <row r="67" spans="3:4">
      <c r="C67" s="201"/>
      <c r="D67" s="460"/>
    </row>
    <row r="68" spans="3:4">
      <c r="C68" s="201"/>
      <c r="D68" s="460"/>
    </row>
    <row r="69" spans="3:4">
      <c r="C69" s="461"/>
      <c r="D69" s="459"/>
    </row>
    <row r="70" spans="3:4">
      <c r="C70" s="450"/>
      <c r="D70" s="459"/>
    </row>
    <row r="71" spans="3:4">
      <c r="C71" s="201"/>
      <c r="D71" s="458"/>
    </row>
    <row r="72" spans="3:4">
      <c r="C72" s="201"/>
      <c r="D72" s="458"/>
    </row>
    <row r="73" spans="3:4">
      <c r="C73" s="201"/>
      <c r="D73" s="458"/>
    </row>
    <row r="74" spans="3:4">
      <c r="C74" s="201"/>
      <c r="D74" s="460"/>
    </row>
    <row r="75" spans="3:4">
      <c r="C75" s="450"/>
      <c r="D75" s="459"/>
    </row>
    <row r="76" spans="3:4">
      <c r="C76" s="201"/>
      <c r="D76" s="458"/>
    </row>
    <row r="77" spans="3:4">
      <c r="C77" s="461"/>
      <c r="D77" s="459"/>
    </row>
    <row r="78" spans="3:4">
      <c r="C78" s="461"/>
      <c r="D78" s="459"/>
    </row>
    <row r="79" spans="3:4">
      <c r="C79" s="461"/>
      <c r="D79" s="459"/>
    </row>
    <row r="80" spans="3:4">
      <c r="C80" s="450"/>
      <c r="D80" s="459"/>
    </row>
    <row r="81" spans="3:4">
      <c r="C81" s="201"/>
      <c r="D81" s="460"/>
    </row>
    <row r="82" spans="3:4">
      <c r="C82" s="450"/>
      <c r="D82" s="459"/>
    </row>
    <row r="83" spans="3:4">
      <c r="C83" s="201"/>
      <c r="D83" s="458"/>
    </row>
    <row r="84" spans="3:4">
      <c r="C84" s="461"/>
      <c r="D84" s="459"/>
    </row>
    <row r="85" spans="3:4">
      <c r="C85" s="201"/>
      <c r="D85" s="458"/>
    </row>
    <row r="86" spans="3:4">
      <c r="C86" s="450"/>
      <c r="D86" s="459"/>
    </row>
    <row r="87" spans="3:4">
      <c r="C87" s="450"/>
      <c r="D87" s="458"/>
    </row>
  </sheetData>
  <mergeCells count="13">
    <mergeCell ref="A1:Q1"/>
    <mergeCell ref="Q2:Q3"/>
    <mergeCell ref="A2:A3"/>
    <mergeCell ref="B2:B3"/>
    <mergeCell ref="C2:C3"/>
    <mergeCell ref="D2:D3"/>
    <mergeCell ref="E2:E3"/>
    <mergeCell ref="F2:F3"/>
    <mergeCell ref="G2:G3"/>
    <mergeCell ref="H2:H3"/>
    <mergeCell ref="I2:K2"/>
    <mergeCell ref="L2:L3"/>
    <mergeCell ref="M2:P2"/>
  </mergeCells>
  <conditionalFormatting sqref="C59:C64 C66:C74">
    <cfRule type="duplicateValues" dxfId="3" priority="9"/>
  </conditionalFormatting>
  <conditionalFormatting sqref="C51:C58">
    <cfRule type="duplicateValues" dxfId="2" priority="8"/>
  </conditionalFormatting>
  <conditionalFormatting sqref="C65">
    <cfRule type="duplicateValues" dxfId="1" priority="7"/>
  </conditionalFormatting>
  <conditionalFormatting sqref="B42">
    <cfRule type="duplicateValues" dxfId="0" priority="1"/>
  </conditionalFormatting>
  <printOptions horizontalCentered="1"/>
  <pageMargins left="0.7" right="0.7" top="0.75" bottom="0.75" header="0.3" footer="0.3"/>
  <pageSetup paperSize="9" scale="60" fitToHeight="0"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20"/>
  <sheetViews>
    <sheetView workbookViewId="0">
      <selection sqref="A1:J1"/>
    </sheetView>
  </sheetViews>
  <sheetFormatPr defaultRowHeight="15"/>
  <cols>
    <col min="1" max="1" width="6.42578125" style="331" bestFit="1" customWidth="1"/>
    <col min="2" max="2" width="32.28515625" style="331" bestFit="1" customWidth="1"/>
    <col min="3" max="3" width="30.42578125" style="331" customWidth="1"/>
    <col min="4" max="4" width="11.28515625" style="16" bestFit="1" customWidth="1"/>
    <col min="5" max="6" width="11.28515625" style="17" bestFit="1" customWidth="1"/>
    <col min="7" max="7" width="12.42578125" style="331" bestFit="1" customWidth="1"/>
    <col min="8" max="8" width="9.42578125" style="331" bestFit="1" customWidth="1"/>
    <col min="9" max="9" width="12.7109375" style="331" customWidth="1"/>
    <col min="10" max="10" width="10.140625" style="331" customWidth="1"/>
    <col min="11" max="16384" width="9.140625" style="331"/>
  </cols>
  <sheetData>
    <row r="1" spans="1:13">
      <c r="A1" s="1203" t="s">
        <v>1392</v>
      </c>
      <c r="B1" s="1203"/>
      <c r="C1" s="1203"/>
      <c r="D1" s="1203"/>
      <c r="E1" s="1203"/>
      <c r="F1" s="1203"/>
      <c r="G1" s="1203"/>
      <c r="H1" s="1203"/>
      <c r="I1" s="1203"/>
      <c r="J1" s="1203"/>
      <c r="K1" s="10"/>
    </row>
    <row r="2" spans="1:13">
      <c r="A2" s="1204" t="s">
        <v>105</v>
      </c>
      <c r="B2" s="1204" t="s">
        <v>106</v>
      </c>
      <c r="C2" s="1206" t="s">
        <v>107</v>
      </c>
      <c r="D2" s="1208" t="s">
        <v>108</v>
      </c>
      <c r="E2" s="1210" t="s">
        <v>109</v>
      </c>
      <c r="F2" s="1212" t="s">
        <v>110</v>
      </c>
      <c r="G2" s="1214" t="s">
        <v>111</v>
      </c>
      <c r="H2" s="1215"/>
      <c r="I2" s="1216" t="s">
        <v>112</v>
      </c>
      <c r="J2" s="1204" t="s">
        <v>113</v>
      </c>
      <c r="K2" s="11"/>
    </row>
    <row r="3" spans="1:13" ht="60">
      <c r="A3" s="1205"/>
      <c r="B3" s="1205"/>
      <c r="C3" s="1207"/>
      <c r="D3" s="1209"/>
      <c r="E3" s="1211"/>
      <c r="F3" s="1213"/>
      <c r="G3" s="574" t="s">
        <v>114</v>
      </c>
      <c r="H3" s="574" t="s">
        <v>115</v>
      </c>
      <c r="I3" s="1217"/>
      <c r="J3" s="1205"/>
      <c r="K3" s="11"/>
    </row>
    <row r="4" spans="1:13">
      <c r="A4" s="281">
        <v>1</v>
      </c>
      <c r="B4" s="452" t="s">
        <v>903</v>
      </c>
      <c r="C4" s="452" t="s">
        <v>902</v>
      </c>
      <c r="D4" s="221">
        <v>45362</v>
      </c>
      <c r="E4" s="221">
        <v>45492</v>
      </c>
      <c r="F4" s="221">
        <v>45505</v>
      </c>
      <c r="G4" s="482">
        <v>522730</v>
      </c>
      <c r="H4" s="483">
        <v>26</v>
      </c>
      <c r="I4" s="482">
        <v>14.9</v>
      </c>
      <c r="J4" s="484">
        <v>0.77</v>
      </c>
      <c r="K4" s="12"/>
    </row>
    <row r="5" spans="1:13">
      <c r="A5" s="281">
        <v>2</v>
      </c>
      <c r="B5" s="452" t="s">
        <v>1409</v>
      </c>
      <c r="C5" s="452" t="s">
        <v>901</v>
      </c>
      <c r="D5" s="221">
        <v>45391</v>
      </c>
      <c r="E5" s="221">
        <v>45496</v>
      </c>
      <c r="F5" s="221">
        <v>45509</v>
      </c>
      <c r="G5" s="482">
        <v>19079617</v>
      </c>
      <c r="H5" s="482">
        <v>26</v>
      </c>
      <c r="I5" s="482">
        <v>147</v>
      </c>
      <c r="J5" s="484">
        <v>279.89</v>
      </c>
      <c r="K5" s="13"/>
      <c r="L5" s="14"/>
    </row>
    <row r="6" spans="1:13">
      <c r="A6" s="281">
        <v>3</v>
      </c>
      <c r="B6" s="452" t="s">
        <v>900</v>
      </c>
      <c r="C6" s="452" t="s">
        <v>899</v>
      </c>
      <c r="D6" s="221">
        <v>45321</v>
      </c>
      <c r="E6" s="221">
        <v>45506</v>
      </c>
      <c r="F6" s="221">
        <v>45520</v>
      </c>
      <c r="G6" s="482">
        <v>1365000</v>
      </c>
      <c r="H6" s="482">
        <v>26</v>
      </c>
      <c r="I6" s="482">
        <v>262.14999999999998</v>
      </c>
      <c r="J6" s="484">
        <v>35.78</v>
      </c>
      <c r="K6" s="18"/>
      <c r="L6" s="14"/>
    </row>
    <row r="7" spans="1:13">
      <c r="A7" s="281">
        <v>4</v>
      </c>
      <c r="B7" s="452" t="s">
        <v>898</v>
      </c>
      <c r="C7" s="452" t="s">
        <v>897</v>
      </c>
      <c r="D7" s="221">
        <v>45390</v>
      </c>
      <c r="E7" s="221">
        <v>45512</v>
      </c>
      <c r="F7" s="221">
        <v>45526</v>
      </c>
      <c r="G7" s="482">
        <v>9616000</v>
      </c>
      <c r="H7" s="482">
        <v>26</v>
      </c>
      <c r="I7" s="482">
        <v>16</v>
      </c>
      <c r="J7" s="484">
        <v>15.38</v>
      </c>
      <c r="K7" s="18"/>
      <c r="L7" s="14"/>
    </row>
    <row r="8" spans="1:13">
      <c r="A8" s="281">
        <v>5</v>
      </c>
      <c r="B8" s="452" t="s">
        <v>896</v>
      </c>
      <c r="C8" s="452" t="s">
        <v>895</v>
      </c>
      <c r="D8" s="221">
        <v>45387</v>
      </c>
      <c r="E8" s="221">
        <v>45517</v>
      </c>
      <c r="F8" s="221">
        <v>45531</v>
      </c>
      <c r="G8" s="482">
        <v>675428</v>
      </c>
      <c r="H8" s="482">
        <v>26</v>
      </c>
      <c r="I8" s="482">
        <v>10</v>
      </c>
      <c r="J8" s="484">
        <v>0.67</v>
      </c>
      <c r="L8" s="14"/>
    </row>
    <row r="9" spans="1:13">
      <c r="A9" s="281">
        <v>6</v>
      </c>
      <c r="B9" s="452" t="s">
        <v>894</v>
      </c>
      <c r="C9" s="452" t="s">
        <v>893</v>
      </c>
      <c r="D9" s="221">
        <v>45446</v>
      </c>
      <c r="E9" s="221">
        <v>45520</v>
      </c>
      <c r="F9" s="221">
        <v>45533</v>
      </c>
      <c r="G9" s="482">
        <v>3114488</v>
      </c>
      <c r="H9" s="482">
        <v>26</v>
      </c>
      <c r="I9" s="482">
        <v>18</v>
      </c>
      <c r="J9" s="484">
        <v>5.6060784000000004</v>
      </c>
    </row>
    <row r="10" spans="1:13">
      <c r="A10" s="281">
        <v>7</v>
      </c>
      <c r="B10" s="452" t="s">
        <v>892</v>
      </c>
      <c r="C10" s="452" t="s">
        <v>891</v>
      </c>
      <c r="D10" s="221">
        <v>45407</v>
      </c>
      <c r="E10" s="221">
        <v>45523</v>
      </c>
      <c r="F10" s="221">
        <v>45534</v>
      </c>
      <c r="G10" s="482">
        <v>266639</v>
      </c>
      <c r="H10" s="482">
        <v>26</v>
      </c>
      <c r="I10" s="482">
        <v>95</v>
      </c>
      <c r="J10" s="484">
        <v>2.5299999999999998</v>
      </c>
    </row>
    <row r="11" spans="1:13">
      <c r="A11" s="281">
        <v>8</v>
      </c>
      <c r="B11" s="452" t="s">
        <v>890</v>
      </c>
      <c r="C11" s="452" t="s">
        <v>889</v>
      </c>
      <c r="D11" s="221">
        <v>45419</v>
      </c>
      <c r="E11" s="221">
        <v>45523</v>
      </c>
      <c r="F11" s="221">
        <v>45534</v>
      </c>
      <c r="G11" s="482">
        <v>182000</v>
      </c>
      <c r="H11" s="482">
        <v>26</v>
      </c>
      <c r="I11" s="482">
        <v>25</v>
      </c>
      <c r="J11" s="484">
        <v>0.45500000000000002</v>
      </c>
    </row>
    <row r="12" spans="1:13">
      <c r="A12" s="258" t="s">
        <v>130</v>
      </c>
      <c r="B12" s="13"/>
      <c r="C12" s="13"/>
      <c r="D12" s="15"/>
      <c r="E12" s="15"/>
      <c r="F12" s="15"/>
      <c r="G12" s="13"/>
      <c r="H12" s="13"/>
      <c r="I12" s="13"/>
      <c r="J12" s="1179"/>
    </row>
    <row r="13" spans="1:13">
      <c r="A13" s="13"/>
      <c r="B13" s="13"/>
      <c r="C13" s="13"/>
      <c r="D13" s="15"/>
      <c r="E13" s="15"/>
      <c r="F13" s="15"/>
      <c r="G13" s="13"/>
      <c r="H13" s="13"/>
      <c r="I13" s="13"/>
      <c r="J13" s="13"/>
    </row>
    <row r="14" spans="1:13">
      <c r="K14" s="13"/>
      <c r="L14" s="13"/>
      <c r="M14" s="13"/>
    </row>
    <row r="15" spans="1:13">
      <c r="K15" s="13"/>
      <c r="L15" s="13"/>
      <c r="M15" s="13"/>
    </row>
    <row r="16" spans="1:13">
      <c r="K16" s="13"/>
      <c r="L16" s="13"/>
      <c r="M16" s="13"/>
    </row>
    <row r="17" spans="11:13">
      <c r="K17" s="13"/>
      <c r="L17" s="13"/>
      <c r="M17" s="13"/>
    </row>
    <row r="18" spans="11:13">
      <c r="K18" s="13"/>
      <c r="L18" s="13"/>
      <c r="M18" s="13"/>
    </row>
    <row r="19" spans="11:13">
      <c r="K19" s="13"/>
      <c r="L19" s="13"/>
      <c r="M19" s="13"/>
    </row>
    <row r="20" spans="11:13">
      <c r="K20" s="13"/>
      <c r="L20" s="13"/>
      <c r="M20" s="13"/>
    </row>
  </sheetData>
  <mergeCells count="10">
    <mergeCell ref="A1:J1"/>
    <mergeCell ref="A2:A3"/>
    <mergeCell ref="B2:B3"/>
    <mergeCell ref="C2:C3"/>
    <mergeCell ref="D2:D3"/>
    <mergeCell ref="E2:E3"/>
    <mergeCell ref="F2:F3"/>
    <mergeCell ref="G2:H2"/>
    <mergeCell ref="I2:I3"/>
    <mergeCell ref="J2:J3"/>
  </mergeCells>
  <printOptions horizontalCentered="1"/>
  <pageMargins left="0.70866141732283472" right="0.70866141732283472" top="0.74803149606299213" bottom="0.74803149606299213" header="0.31496062992125984" footer="0.31496062992125984"/>
  <pageSetup paperSize="9" scale="88" fitToHeight="0"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36"/>
  <sheetViews>
    <sheetView workbookViewId="0">
      <selection sqref="A1:I1"/>
    </sheetView>
  </sheetViews>
  <sheetFormatPr defaultRowHeight="15"/>
  <cols>
    <col min="1" max="1" width="14" style="331" customWidth="1"/>
    <col min="2" max="2" width="13.5703125" style="331" bestFit="1" customWidth="1"/>
    <col min="3" max="3" width="9.28515625" style="331" bestFit="1" customWidth="1"/>
    <col min="4" max="4" width="11.28515625" style="331" customWidth="1"/>
    <col min="5" max="5" width="9.42578125" style="331" customWidth="1"/>
    <col min="6" max="6" width="7" style="331" bestFit="1" customWidth="1"/>
    <col min="7" max="7" width="8.7109375" style="331" bestFit="1" customWidth="1"/>
    <col min="8" max="8" width="13.5703125" style="331" bestFit="1" customWidth="1"/>
    <col min="9" max="9" width="9.28515625" style="331" bestFit="1" customWidth="1"/>
    <col min="10" max="16384" width="9.140625" style="331"/>
  </cols>
  <sheetData>
    <row r="1" spans="1:14">
      <c r="A1" s="1221" t="s">
        <v>735</v>
      </c>
      <c r="B1" s="1221"/>
      <c r="C1" s="1221"/>
      <c r="D1" s="1221"/>
      <c r="E1" s="1221"/>
      <c r="F1" s="1221"/>
      <c r="G1" s="1221"/>
      <c r="H1" s="1221"/>
      <c r="I1" s="1221"/>
      <c r="J1" s="19"/>
      <c r="K1" s="19"/>
      <c r="L1" s="19"/>
    </row>
    <row r="2" spans="1:14">
      <c r="A2" s="1222" t="s">
        <v>116</v>
      </c>
      <c r="B2" s="1225" t="s">
        <v>117</v>
      </c>
      <c r="C2" s="1226"/>
      <c r="D2" s="1226"/>
      <c r="E2" s="1226"/>
      <c r="F2" s="1226"/>
      <c r="G2" s="1226"/>
      <c r="H2" s="1226"/>
      <c r="I2" s="1227"/>
    </row>
    <row r="3" spans="1:14">
      <c r="A3" s="1223"/>
      <c r="B3" s="1225" t="s">
        <v>118</v>
      </c>
      <c r="C3" s="1226"/>
      <c r="D3" s="1226"/>
      <c r="E3" s="1226"/>
      <c r="F3" s="1226"/>
      <c r="G3" s="1227"/>
      <c r="H3" s="1228" t="s">
        <v>96</v>
      </c>
      <c r="I3" s="1229"/>
    </row>
    <row r="4" spans="1:14" ht="30" customHeight="1">
      <c r="A4" s="1223"/>
      <c r="B4" s="1230" t="s">
        <v>119</v>
      </c>
      <c r="C4" s="1231"/>
      <c r="D4" s="1230" t="s">
        <v>120</v>
      </c>
      <c r="E4" s="1231"/>
      <c r="F4" s="1230" t="s">
        <v>121</v>
      </c>
      <c r="G4" s="1231"/>
      <c r="H4" s="1218" t="s">
        <v>122</v>
      </c>
      <c r="I4" s="1218" t="s">
        <v>1410</v>
      </c>
    </row>
    <row r="5" spans="1:14" ht="30">
      <c r="A5" s="1224"/>
      <c r="B5" s="585" t="s">
        <v>122</v>
      </c>
      <c r="C5" s="585" t="s">
        <v>1410</v>
      </c>
      <c r="D5" s="585" t="s">
        <v>122</v>
      </c>
      <c r="E5" s="585" t="s">
        <v>123</v>
      </c>
      <c r="F5" s="585" t="s">
        <v>122</v>
      </c>
      <c r="G5" s="585" t="s">
        <v>1411</v>
      </c>
      <c r="H5" s="1219"/>
      <c r="I5" s="1219"/>
    </row>
    <row r="6" spans="1:14">
      <c r="A6" s="584" t="s">
        <v>518</v>
      </c>
      <c r="B6" s="583">
        <v>1</v>
      </c>
      <c r="C6" s="583">
        <v>4.3600000000000003</v>
      </c>
      <c r="D6" s="583">
        <v>1</v>
      </c>
      <c r="E6" s="583">
        <v>3.27</v>
      </c>
      <c r="F6" s="583">
        <v>71</v>
      </c>
      <c r="G6" s="583">
        <v>10243.92</v>
      </c>
      <c r="H6" s="583">
        <v>73</v>
      </c>
      <c r="I6" s="583">
        <v>10251.549999999999</v>
      </c>
      <c r="K6" s="20"/>
      <c r="L6" s="20"/>
      <c r="M6" s="21"/>
      <c r="N6" s="21"/>
    </row>
    <row r="7" spans="1:14">
      <c r="A7" s="582" t="s">
        <v>743</v>
      </c>
      <c r="B7" s="581">
        <f t="shared" ref="B7:I7" si="0">SUM(B8:B19)</f>
        <v>29</v>
      </c>
      <c r="C7" s="580">
        <f t="shared" si="0"/>
        <v>818.53931392699997</v>
      </c>
      <c r="D7" s="580">
        <f t="shared" si="0"/>
        <v>1</v>
      </c>
      <c r="E7" s="580">
        <f t="shared" si="0"/>
        <v>5.61</v>
      </c>
      <c r="F7" s="580">
        <f t="shared" si="0"/>
        <v>0</v>
      </c>
      <c r="G7" s="580">
        <f t="shared" si="0"/>
        <v>0</v>
      </c>
      <c r="H7" s="580">
        <f t="shared" si="0"/>
        <v>30</v>
      </c>
      <c r="I7" s="580">
        <f t="shared" si="0"/>
        <v>824.14931392700009</v>
      </c>
      <c r="K7" s="20"/>
      <c r="L7" s="20"/>
      <c r="M7" s="21"/>
      <c r="N7" s="21"/>
    </row>
    <row r="8" spans="1:14">
      <c r="A8" s="174">
        <v>45412</v>
      </c>
      <c r="B8" s="579">
        <v>4</v>
      </c>
      <c r="C8" s="578">
        <v>25.34</v>
      </c>
      <c r="D8" s="576">
        <v>1</v>
      </c>
      <c r="E8" s="578">
        <v>5.61</v>
      </c>
      <c r="F8" s="576">
        <v>0</v>
      </c>
      <c r="G8" s="576">
        <v>0</v>
      </c>
      <c r="H8" s="576">
        <f>SUM(B8,D8,F8)</f>
        <v>5</v>
      </c>
      <c r="I8" s="575">
        <f>SUM(C8,E8,G8)</f>
        <v>30.95</v>
      </c>
      <c r="K8" s="20"/>
      <c r="L8" s="20"/>
      <c r="M8" s="21"/>
      <c r="N8" s="21"/>
    </row>
    <row r="9" spans="1:14">
      <c r="A9" s="174">
        <v>45443</v>
      </c>
      <c r="B9" s="577">
        <v>1</v>
      </c>
      <c r="C9" s="575">
        <v>4.9800000000000004</v>
      </c>
      <c r="D9" s="236">
        <v>0</v>
      </c>
      <c r="E9" s="575">
        <v>0</v>
      </c>
      <c r="F9" s="236">
        <v>0</v>
      </c>
      <c r="G9" s="575">
        <v>0</v>
      </c>
      <c r="H9" s="576">
        <v>1</v>
      </c>
      <c r="I9" s="575">
        <v>4.9800000000000004</v>
      </c>
      <c r="K9" s="20"/>
      <c r="L9" s="20"/>
      <c r="M9" s="21"/>
      <c r="N9" s="21"/>
    </row>
    <row r="10" spans="1:14">
      <c r="A10" s="174">
        <v>45473</v>
      </c>
      <c r="B10" s="577">
        <v>2</v>
      </c>
      <c r="C10" s="575">
        <v>5.66</v>
      </c>
      <c r="D10" s="236">
        <v>0</v>
      </c>
      <c r="E10" s="575">
        <v>0</v>
      </c>
      <c r="F10" s="236">
        <v>0</v>
      </c>
      <c r="G10" s="575">
        <v>0</v>
      </c>
      <c r="H10" s="576">
        <f t="shared" ref="H10:H19" si="1">SUM(B10,D10,F10)</f>
        <v>2</v>
      </c>
      <c r="I10" s="575">
        <f t="shared" ref="I10:I19" si="2">SUM(C10,E10,G10)</f>
        <v>5.66</v>
      </c>
      <c r="K10" s="20"/>
      <c r="L10" s="20"/>
      <c r="M10" s="21"/>
      <c r="N10" s="21"/>
    </row>
    <row r="11" spans="1:14">
      <c r="A11" s="174">
        <v>45504</v>
      </c>
      <c r="B11" s="577">
        <v>14</v>
      </c>
      <c r="C11" s="575">
        <v>441.47931392700002</v>
      </c>
      <c r="D11" s="577">
        <v>0</v>
      </c>
      <c r="E11" s="577">
        <v>0</v>
      </c>
      <c r="F11" s="577">
        <v>0</v>
      </c>
      <c r="G11" s="577">
        <v>0</v>
      </c>
      <c r="H11" s="576">
        <f t="shared" si="1"/>
        <v>14</v>
      </c>
      <c r="I11" s="575">
        <f t="shared" si="2"/>
        <v>441.47931392700002</v>
      </c>
      <c r="K11" s="20"/>
      <c r="L11" s="20"/>
      <c r="M11" s="21"/>
      <c r="N11" s="21"/>
    </row>
    <row r="12" spans="1:14">
      <c r="A12" s="174">
        <v>45535</v>
      </c>
      <c r="B12" s="577">
        <v>8</v>
      </c>
      <c r="C12" s="575">
        <v>341.08</v>
      </c>
      <c r="D12" s="577">
        <v>0</v>
      </c>
      <c r="E12" s="577">
        <v>0</v>
      </c>
      <c r="F12" s="577">
        <v>0</v>
      </c>
      <c r="G12" s="577">
        <v>0</v>
      </c>
      <c r="H12" s="576">
        <f t="shared" si="1"/>
        <v>8</v>
      </c>
      <c r="I12" s="575">
        <f t="shared" si="2"/>
        <v>341.08</v>
      </c>
      <c r="K12" s="20"/>
      <c r="L12" s="20"/>
      <c r="M12" s="21"/>
      <c r="N12" s="21"/>
    </row>
    <row r="13" spans="1:14">
      <c r="A13" s="174">
        <v>45565</v>
      </c>
      <c r="B13" s="577"/>
      <c r="C13" s="575"/>
      <c r="D13" s="236"/>
      <c r="E13" s="575"/>
      <c r="F13" s="173"/>
      <c r="G13" s="575"/>
      <c r="H13" s="576">
        <f t="shared" si="1"/>
        <v>0</v>
      </c>
      <c r="I13" s="575">
        <f t="shared" si="2"/>
        <v>0</v>
      </c>
      <c r="K13" s="20"/>
      <c r="L13" s="20"/>
      <c r="M13" s="21"/>
      <c r="N13" s="21"/>
    </row>
    <row r="14" spans="1:14">
      <c r="A14" s="174">
        <v>45596</v>
      </c>
      <c r="B14" s="577"/>
      <c r="C14" s="575"/>
      <c r="D14" s="236"/>
      <c r="E14" s="575"/>
      <c r="F14" s="173"/>
      <c r="G14" s="575"/>
      <c r="H14" s="576">
        <f t="shared" si="1"/>
        <v>0</v>
      </c>
      <c r="I14" s="575">
        <f t="shared" si="2"/>
        <v>0</v>
      </c>
      <c r="K14" s="20"/>
      <c r="L14" s="20"/>
      <c r="M14" s="21"/>
      <c r="N14" s="21"/>
    </row>
    <row r="15" spans="1:14">
      <c r="A15" s="174">
        <v>45626</v>
      </c>
      <c r="B15" s="577"/>
      <c r="C15" s="575"/>
      <c r="D15" s="236"/>
      <c r="E15" s="575"/>
      <c r="F15" s="173"/>
      <c r="G15" s="575"/>
      <c r="H15" s="576">
        <f t="shared" si="1"/>
        <v>0</v>
      </c>
      <c r="I15" s="575">
        <f t="shared" si="2"/>
        <v>0</v>
      </c>
      <c r="K15" s="20"/>
      <c r="L15" s="20"/>
      <c r="M15" s="21"/>
      <c r="N15" s="21"/>
    </row>
    <row r="16" spans="1:14">
      <c r="A16" s="174">
        <v>45657</v>
      </c>
      <c r="B16" s="577"/>
      <c r="C16" s="236"/>
      <c r="D16" s="236"/>
      <c r="E16" s="236"/>
      <c r="F16" s="236"/>
      <c r="G16" s="575"/>
      <c r="H16" s="576">
        <f t="shared" si="1"/>
        <v>0</v>
      </c>
      <c r="I16" s="575">
        <f t="shared" si="2"/>
        <v>0</v>
      </c>
      <c r="K16" s="20"/>
      <c r="L16" s="20"/>
      <c r="M16" s="21"/>
      <c r="N16" s="21"/>
    </row>
    <row r="17" spans="1:14">
      <c r="A17" s="174">
        <v>45688</v>
      </c>
      <c r="B17" s="577"/>
      <c r="C17" s="236"/>
      <c r="D17" s="236"/>
      <c r="E17" s="236"/>
      <c r="F17" s="236"/>
      <c r="G17" s="575"/>
      <c r="H17" s="576">
        <f t="shared" si="1"/>
        <v>0</v>
      </c>
      <c r="I17" s="575">
        <f t="shared" si="2"/>
        <v>0</v>
      </c>
      <c r="K17" s="20"/>
      <c r="L17" s="20"/>
      <c r="M17" s="21"/>
      <c r="N17" s="21"/>
    </row>
    <row r="18" spans="1:14">
      <c r="A18" s="174">
        <v>45716</v>
      </c>
      <c r="B18" s="577"/>
      <c r="C18" s="236"/>
      <c r="D18" s="236"/>
      <c r="E18" s="236"/>
      <c r="F18" s="575"/>
      <c r="G18" s="575"/>
      <c r="H18" s="576">
        <f t="shared" si="1"/>
        <v>0</v>
      </c>
      <c r="I18" s="575">
        <f t="shared" si="2"/>
        <v>0</v>
      </c>
      <c r="K18" s="20"/>
      <c r="L18" s="20"/>
      <c r="M18" s="21"/>
      <c r="N18" s="21"/>
    </row>
    <row r="19" spans="1:14">
      <c r="A19" s="174">
        <v>45747</v>
      </c>
      <c r="B19" s="577"/>
      <c r="C19" s="236"/>
      <c r="D19" s="236"/>
      <c r="E19" s="236"/>
      <c r="F19" s="575"/>
      <c r="G19" s="575"/>
      <c r="H19" s="576">
        <f t="shared" si="1"/>
        <v>0</v>
      </c>
      <c r="I19" s="575">
        <f t="shared" si="2"/>
        <v>0</v>
      </c>
      <c r="K19" s="20"/>
      <c r="L19" s="20"/>
      <c r="M19" s="21"/>
      <c r="N19" s="21"/>
    </row>
    <row r="20" spans="1:14">
      <c r="A20" s="743" t="str">
        <f>"$ indicates as on "&amp;TEXT(IF(COUNT(B8:B19)=1,A8,IF(COUNT(B8:B19)=2,A9,IF(COUNT(B8:B19)=3,A10,IF(COUNT(B8:B19)=4,A11,IF(COUNT(B8:B19)=5,A12,IF(COUNT(B8:B19)=6,A13,IF(COUNT(B8:B19)=7,A14,IF(COUNT(B8:B19)=8,A15,IF(COUNT(B8:B19)=9,A16,IF(COUNT(B8:B19)=10,A17,IF(COUNT(B8:B19)=11,A18,A19))))))))))),"mmmm dd, yyyy")</f>
        <v>$ indicates as on August 31, 2024</v>
      </c>
      <c r="B20" s="22"/>
      <c r="C20" s="22"/>
      <c r="D20" s="22"/>
      <c r="E20" s="22"/>
      <c r="F20" s="25"/>
      <c r="G20" s="25"/>
      <c r="H20" s="421"/>
      <c r="I20" s="25"/>
      <c r="K20" s="20"/>
      <c r="L20" s="20"/>
      <c r="M20" s="21"/>
      <c r="N20" s="21"/>
    </row>
    <row r="21" spans="1:14">
      <c r="A21" s="1220" t="s">
        <v>127</v>
      </c>
      <c r="B21" s="1220"/>
      <c r="C21" s="1220"/>
      <c r="D21" s="1220"/>
      <c r="E21" s="1220"/>
      <c r="F21" s="1220"/>
      <c r="G21" s="1220"/>
      <c r="H21" s="22"/>
      <c r="I21" s="23"/>
      <c r="K21" s="20"/>
      <c r="L21" s="20"/>
      <c r="M21" s="21"/>
      <c r="N21" s="21"/>
    </row>
    <row r="22" spans="1:14">
      <c r="A22" s="1220" t="s">
        <v>128</v>
      </c>
      <c r="B22" s="1220"/>
      <c r="C22" s="1220"/>
      <c r="D22" s="545"/>
      <c r="E22" s="25"/>
      <c r="F22" s="22"/>
      <c r="G22" s="25"/>
      <c r="H22" s="22"/>
      <c r="I22" s="23"/>
      <c r="K22" s="20"/>
      <c r="L22" s="20"/>
      <c r="M22" s="21"/>
      <c r="N22" s="21"/>
    </row>
    <row r="23" spans="1:14">
      <c r="A23" s="26" t="s">
        <v>130</v>
      </c>
      <c r="B23" s="26"/>
      <c r="C23" s="26"/>
      <c r="D23" s="26"/>
      <c r="E23" s="26"/>
      <c r="F23" s="26"/>
      <c r="G23" s="26"/>
      <c r="H23" s="22"/>
      <c r="I23" s="23"/>
      <c r="K23" s="20"/>
      <c r="L23" s="20"/>
      <c r="M23" s="21"/>
      <c r="N23" s="21"/>
    </row>
    <row r="24" spans="1:14">
      <c r="A24" s="27"/>
      <c r="B24" s="22"/>
      <c r="C24" s="28"/>
      <c r="D24" s="22"/>
      <c r="E24" s="22"/>
      <c r="F24" s="22"/>
      <c r="G24" s="22"/>
      <c r="H24" s="22"/>
      <c r="I24" s="28"/>
      <c r="J24" s="29"/>
      <c r="K24" s="20"/>
      <c r="L24" s="20"/>
      <c r="M24" s="21"/>
      <c r="N24" s="21"/>
    </row>
    <row r="25" spans="1:14">
      <c r="A25" s="27"/>
      <c r="B25" s="22"/>
      <c r="C25" s="28"/>
      <c r="D25" s="22"/>
      <c r="E25" s="22"/>
      <c r="F25" s="22"/>
      <c r="G25" s="22"/>
      <c r="H25" s="22"/>
      <c r="I25" s="28"/>
      <c r="J25" s="29"/>
      <c r="K25" s="20"/>
      <c r="L25" s="20"/>
      <c r="M25" s="21"/>
      <c r="N25" s="21"/>
    </row>
    <row r="26" spans="1:14">
      <c r="A26" s="27"/>
      <c r="B26" s="30"/>
      <c r="C26" s="31"/>
      <c r="D26" s="30"/>
      <c r="E26" s="31"/>
      <c r="F26" s="30"/>
      <c r="G26" s="30"/>
      <c r="H26" s="30"/>
      <c r="I26" s="31"/>
      <c r="J26" s="13"/>
      <c r="K26" s="20"/>
      <c r="L26" s="20"/>
      <c r="M26" s="32"/>
      <c r="N26" s="32"/>
    </row>
    <row r="27" spans="1:14">
      <c r="A27" s="33"/>
      <c r="B27" s="34"/>
      <c r="C27" s="34"/>
      <c r="D27" s="34"/>
      <c r="E27" s="34"/>
      <c r="F27" s="34"/>
      <c r="G27" s="34"/>
      <c r="H27" s="34"/>
      <c r="I27" s="34"/>
    </row>
    <row r="28" spans="1:14">
      <c r="A28" s="33"/>
      <c r="B28" s="34"/>
      <c r="C28" s="34"/>
      <c r="D28" s="34"/>
      <c r="E28" s="34"/>
      <c r="F28" s="34"/>
      <c r="G28" s="34"/>
      <c r="H28" s="34"/>
      <c r="I28" s="34"/>
    </row>
    <row r="29" spans="1:14">
      <c r="A29" s="35"/>
      <c r="B29" s="34"/>
      <c r="C29" s="34"/>
      <c r="D29" s="34"/>
      <c r="E29" s="34"/>
      <c r="F29" s="34"/>
      <c r="G29" s="34"/>
      <c r="H29" s="34"/>
      <c r="I29" s="34"/>
    </row>
    <row r="30" spans="1:14">
      <c r="A30" s="35"/>
      <c r="B30" s="34"/>
      <c r="C30" s="34"/>
      <c r="D30" s="34"/>
      <c r="E30" s="34"/>
      <c r="F30" s="34"/>
      <c r="G30" s="34"/>
      <c r="H30" s="34"/>
      <c r="I30" s="34"/>
    </row>
    <row r="31" spans="1:14">
      <c r="H31" s="26"/>
      <c r="I31" s="26"/>
    </row>
    <row r="32" spans="1:14">
      <c r="H32" s="26"/>
      <c r="I32" s="26"/>
    </row>
    <row r="33" spans="2:9">
      <c r="H33" s="36"/>
      <c r="I33" s="36"/>
    </row>
    <row r="34" spans="2:9">
      <c r="H34" s="37"/>
      <c r="I34" s="37"/>
    </row>
    <row r="36" spans="2:9">
      <c r="B36" s="21"/>
      <c r="C36" s="21"/>
      <c r="D36" s="21"/>
      <c r="E36" s="21"/>
      <c r="F36" s="21"/>
      <c r="G36" s="21"/>
      <c r="H36" s="21"/>
      <c r="I36" s="21"/>
    </row>
  </sheetData>
  <mergeCells count="12">
    <mergeCell ref="H4:H5"/>
    <mergeCell ref="I4:I5"/>
    <mergeCell ref="A21:G21"/>
    <mergeCell ref="A22:C22"/>
    <mergeCell ref="A1:I1"/>
    <mergeCell ref="A2:A5"/>
    <mergeCell ref="B2:I2"/>
    <mergeCell ref="B3:G3"/>
    <mergeCell ref="H3:I3"/>
    <mergeCell ref="B4:C4"/>
    <mergeCell ref="D4:E4"/>
    <mergeCell ref="F4:G4"/>
  </mergeCells>
  <printOptions horizontalCentered="1"/>
  <pageMargins left="0.7" right="0.7" top="0.75" bottom="0.75" header="0.3" footer="0.3"/>
  <pageSetup paperSize="9" fitToHeight="0"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E100"/>
  <sheetViews>
    <sheetView tabSelected="1" workbookViewId="0">
      <selection activeCell="F14" sqref="F14"/>
    </sheetView>
  </sheetViews>
  <sheetFormatPr defaultRowHeight="15"/>
  <cols>
    <col min="1" max="1" width="56" style="331" customWidth="1"/>
    <col min="2" max="2" width="13.28515625" style="331" customWidth="1"/>
    <col min="3" max="3" width="9.85546875" style="331" customWidth="1"/>
    <col min="4" max="4" width="13.28515625" style="331" customWidth="1"/>
    <col min="5" max="5" width="9.85546875" style="331" customWidth="1"/>
    <col min="6" max="6" width="9.42578125" style="331" customWidth="1"/>
    <col min="7" max="7" width="9.85546875" style="331" customWidth="1"/>
    <col min="8" max="8" width="11.5703125" style="331" customWidth="1"/>
    <col min="9" max="9" width="9.85546875" style="331" customWidth="1"/>
    <col min="10" max="10" width="9.5703125" style="331" customWidth="1"/>
    <col min="11" max="11" width="9.85546875" style="331" customWidth="1"/>
    <col min="12" max="12" width="10.28515625" style="331" customWidth="1"/>
    <col min="13" max="13" width="9.85546875" style="331" customWidth="1"/>
    <col min="14" max="14" width="10.7109375" style="331" customWidth="1"/>
    <col min="15" max="15" width="10.140625" style="331" customWidth="1"/>
    <col min="16" max="16" width="9.140625" style="331" customWidth="1"/>
    <col min="17" max="17" width="12.5703125" style="331" customWidth="1"/>
    <col min="18" max="20" width="9.140625" style="331" customWidth="1"/>
    <col min="21" max="21" width="10" style="331" customWidth="1"/>
    <col min="22" max="22" width="9.140625" style="331" customWidth="1"/>
    <col min="23" max="23" width="10.42578125" style="331" customWidth="1"/>
    <col min="24" max="49" width="9.140625" style="331" customWidth="1"/>
    <col min="50" max="50" width="9.140625" style="331"/>
    <col min="51" max="51" width="9.85546875" style="331" customWidth="1"/>
    <col min="52" max="16384" width="9.140625" style="331"/>
  </cols>
  <sheetData>
    <row r="1" spans="1:57" ht="15" customHeight="1">
      <c r="A1" s="1238" t="s">
        <v>715</v>
      </c>
      <c r="B1" s="1238"/>
      <c r="C1" s="1238"/>
      <c r="D1" s="1238"/>
      <c r="E1" s="1238"/>
      <c r="F1" s="1238"/>
      <c r="G1" s="1238"/>
      <c r="H1" s="1238"/>
      <c r="I1" s="1238"/>
      <c r="J1" s="446"/>
      <c r="K1" s="446"/>
      <c r="L1" s="446"/>
      <c r="M1" s="446"/>
      <c r="N1" s="336"/>
      <c r="O1" s="336"/>
    </row>
    <row r="2" spans="1:57">
      <c r="A2" s="1239" t="s">
        <v>131</v>
      </c>
      <c r="B2" s="1242" t="s">
        <v>518</v>
      </c>
      <c r="C2" s="1242"/>
      <c r="D2" s="1242"/>
      <c r="E2" s="1242"/>
      <c r="F2" s="1242" t="str">
        <f>"2024-25 (upto "&amp;TEXT('1'!$C$2,"mmmm dd, yyyy")&amp;")"</f>
        <v>2024-25 (upto August 31, 2024)</v>
      </c>
      <c r="G2" s="1242"/>
      <c r="H2" s="1242"/>
      <c r="I2" s="1242"/>
      <c r="J2" s="1235">
        <v>45412</v>
      </c>
      <c r="K2" s="1236"/>
      <c r="L2" s="1236"/>
      <c r="M2" s="1237"/>
      <c r="N2" s="1235">
        <f>EOMONTH(J2,1)</f>
        <v>45443</v>
      </c>
      <c r="O2" s="1236"/>
      <c r="P2" s="1236"/>
      <c r="Q2" s="1237"/>
      <c r="R2" s="1235">
        <f>EOMONTH(N2,1)</f>
        <v>45473</v>
      </c>
      <c r="S2" s="1236"/>
      <c r="T2" s="1236"/>
      <c r="U2" s="1237"/>
      <c r="V2" s="1235">
        <f>EOMONTH(R2,1)</f>
        <v>45504</v>
      </c>
      <c r="W2" s="1236"/>
      <c r="X2" s="1236"/>
      <c r="Y2" s="1237"/>
      <c r="Z2" s="1235">
        <f>EOMONTH(V2,1)</f>
        <v>45535</v>
      </c>
      <c r="AA2" s="1236"/>
      <c r="AB2" s="1236"/>
      <c r="AC2" s="1237"/>
      <c r="AD2" s="1235">
        <f>EOMONTH(Z2,1)</f>
        <v>45565</v>
      </c>
      <c r="AE2" s="1236"/>
      <c r="AF2" s="1236"/>
      <c r="AG2" s="1237"/>
      <c r="AH2" s="1235">
        <f>EOMONTH(AD2,1)</f>
        <v>45596</v>
      </c>
      <c r="AI2" s="1236"/>
      <c r="AJ2" s="1236"/>
      <c r="AK2" s="1237"/>
      <c r="AL2" s="1235">
        <f>EOMONTH(AH2,1)</f>
        <v>45626</v>
      </c>
      <c r="AM2" s="1236"/>
      <c r="AN2" s="1236"/>
      <c r="AO2" s="1237"/>
      <c r="AP2" s="1235">
        <f>EOMONTH(AL2,1)</f>
        <v>45657</v>
      </c>
      <c r="AQ2" s="1236"/>
      <c r="AR2" s="1236"/>
      <c r="AS2" s="1237"/>
      <c r="AT2" s="1235">
        <f>EOMONTH(AP2,1)</f>
        <v>45688</v>
      </c>
      <c r="AU2" s="1236"/>
      <c r="AV2" s="1236"/>
      <c r="AW2" s="1237"/>
      <c r="AX2" s="1235">
        <f>EOMONTH(AT2,1)</f>
        <v>45716</v>
      </c>
      <c r="AY2" s="1236"/>
      <c r="AZ2" s="1236"/>
      <c r="BA2" s="1237"/>
      <c r="BB2" s="1235">
        <f>EOMONTH(AX2,1)</f>
        <v>45747</v>
      </c>
      <c r="BC2" s="1236"/>
      <c r="BD2" s="1236"/>
      <c r="BE2" s="1237"/>
    </row>
    <row r="3" spans="1:57">
      <c r="A3" s="1240"/>
      <c r="B3" s="1232" t="s">
        <v>132</v>
      </c>
      <c r="C3" s="1233"/>
      <c r="D3" s="1232" t="s">
        <v>133</v>
      </c>
      <c r="E3" s="1233"/>
      <c r="F3" s="1232" t="s">
        <v>132</v>
      </c>
      <c r="G3" s="1233"/>
      <c r="H3" s="1232" t="s">
        <v>133</v>
      </c>
      <c r="I3" s="1233"/>
      <c r="J3" s="1232" t="s">
        <v>132</v>
      </c>
      <c r="K3" s="1233"/>
      <c r="L3" s="1232" t="s">
        <v>133</v>
      </c>
      <c r="M3" s="1233"/>
      <c r="N3" s="1232" t="s">
        <v>132</v>
      </c>
      <c r="O3" s="1233"/>
      <c r="P3" s="1232" t="s">
        <v>133</v>
      </c>
      <c r="Q3" s="1233"/>
      <c r="R3" s="1232" t="s">
        <v>132</v>
      </c>
      <c r="S3" s="1233"/>
      <c r="T3" s="1232" t="s">
        <v>133</v>
      </c>
      <c r="U3" s="1233"/>
      <c r="V3" s="1232" t="s">
        <v>132</v>
      </c>
      <c r="W3" s="1233"/>
      <c r="X3" s="1232" t="s">
        <v>133</v>
      </c>
      <c r="Y3" s="1233"/>
      <c r="Z3" s="1232" t="s">
        <v>132</v>
      </c>
      <c r="AA3" s="1233"/>
      <c r="AB3" s="1232" t="s">
        <v>133</v>
      </c>
      <c r="AC3" s="1233"/>
      <c r="AD3" s="1232" t="s">
        <v>132</v>
      </c>
      <c r="AE3" s="1233"/>
      <c r="AF3" s="1232" t="s">
        <v>133</v>
      </c>
      <c r="AG3" s="1233"/>
      <c r="AH3" s="1232" t="s">
        <v>132</v>
      </c>
      <c r="AI3" s="1233"/>
      <c r="AJ3" s="1232" t="s">
        <v>133</v>
      </c>
      <c r="AK3" s="1233"/>
      <c r="AL3" s="1232" t="s">
        <v>132</v>
      </c>
      <c r="AM3" s="1233"/>
      <c r="AN3" s="1232" t="s">
        <v>133</v>
      </c>
      <c r="AO3" s="1233"/>
      <c r="AP3" s="1232" t="s">
        <v>132</v>
      </c>
      <c r="AQ3" s="1233"/>
      <c r="AR3" s="1232" t="s">
        <v>133</v>
      </c>
      <c r="AS3" s="1233"/>
      <c r="AT3" s="1232" t="s">
        <v>132</v>
      </c>
      <c r="AU3" s="1233"/>
      <c r="AV3" s="1232" t="s">
        <v>133</v>
      </c>
      <c r="AW3" s="1233"/>
      <c r="AX3" s="1232" t="s">
        <v>132</v>
      </c>
      <c r="AY3" s="1233"/>
      <c r="AZ3" s="1232" t="s">
        <v>133</v>
      </c>
      <c r="BA3" s="1233"/>
      <c r="BB3" s="1232" t="s">
        <v>132</v>
      </c>
      <c r="BC3" s="1233"/>
      <c r="BD3" s="1232" t="s">
        <v>133</v>
      </c>
      <c r="BE3" s="1233"/>
    </row>
    <row r="4" spans="1:57" ht="31.5" customHeight="1">
      <c r="A4" s="1241"/>
      <c r="B4" s="462" t="s">
        <v>134</v>
      </c>
      <c r="C4" s="462" t="s">
        <v>135</v>
      </c>
      <c r="D4" s="462" t="s">
        <v>134</v>
      </c>
      <c r="E4" s="462" t="s">
        <v>135</v>
      </c>
      <c r="F4" s="462" t="s">
        <v>134</v>
      </c>
      <c r="G4" s="462" t="s">
        <v>135</v>
      </c>
      <c r="H4" s="462" t="s">
        <v>134</v>
      </c>
      <c r="I4" s="462" t="s">
        <v>135</v>
      </c>
      <c r="J4" s="462" t="s">
        <v>134</v>
      </c>
      <c r="K4" s="462" t="s">
        <v>135</v>
      </c>
      <c r="L4" s="462" t="s">
        <v>134</v>
      </c>
      <c r="M4" s="462" t="s">
        <v>135</v>
      </c>
      <c r="N4" s="462" t="s">
        <v>134</v>
      </c>
      <c r="O4" s="462" t="s">
        <v>135</v>
      </c>
      <c r="P4" s="462" t="s">
        <v>134</v>
      </c>
      <c r="Q4" s="462" t="s">
        <v>135</v>
      </c>
      <c r="R4" s="462" t="s">
        <v>134</v>
      </c>
      <c r="S4" s="462" t="s">
        <v>1413</v>
      </c>
      <c r="T4" s="462" t="s">
        <v>134</v>
      </c>
      <c r="U4" s="462" t="s">
        <v>1413</v>
      </c>
      <c r="V4" s="462" t="s">
        <v>134</v>
      </c>
      <c r="W4" s="462" t="s">
        <v>1413</v>
      </c>
      <c r="X4" s="462" t="s">
        <v>134</v>
      </c>
      <c r="Y4" s="462" t="s">
        <v>1413</v>
      </c>
      <c r="Z4" s="462" t="s">
        <v>134</v>
      </c>
      <c r="AA4" s="462" t="s">
        <v>1413</v>
      </c>
      <c r="AB4" s="462" t="s">
        <v>134</v>
      </c>
      <c r="AC4" s="462" t="s">
        <v>1413</v>
      </c>
      <c r="AD4" s="462" t="s">
        <v>134</v>
      </c>
      <c r="AE4" s="462" t="s">
        <v>1413</v>
      </c>
      <c r="AF4" s="462" t="s">
        <v>134</v>
      </c>
      <c r="AG4" s="462" t="s">
        <v>1413</v>
      </c>
      <c r="AH4" s="462" t="s">
        <v>134</v>
      </c>
      <c r="AI4" s="462" t="s">
        <v>1413</v>
      </c>
      <c r="AJ4" s="462" t="s">
        <v>134</v>
      </c>
      <c r="AK4" s="462" t="s">
        <v>1413</v>
      </c>
      <c r="AL4" s="462" t="s">
        <v>134</v>
      </c>
      <c r="AM4" s="462" t="s">
        <v>1413</v>
      </c>
      <c r="AN4" s="462" t="s">
        <v>134</v>
      </c>
      <c r="AO4" s="462" t="s">
        <v>1413</v>
      </c>
      <c r="AP4" s="462" t="s">
        <v>134</v>
      </c>
      <c r="AQ4" s="462" t="s">
        <v>1413</v>
      </c>
      <c r="AR4" s="462" t="s">
        <v>134</v>
      </c>
      <c r="AS4" s="462" t="s">
        <v>1413</v>
      </c>
      <c r="AT4" s="462" t="s">
        <v>134</v>
      </c>
      <c r="AU4" s="462" t="s">
        <v>1413</v>
      </c>
      <c r="AV4" s="462" t="s">
        <v>134</v>
      </c>
      <c r="AW4" s="462" t="s">
        <v>1413</v>
      </c>
      <c r="AX4" s="462" t="s">
        <v>134</v>
      </c>
      <c r="AY4" s="462" t="s">
        <v>1413</v>
      </c>
      <c r="AZ4" s="462" t="s">
        <v>134</v>
      </c>
      <c r="BA4" s="462" t="s">
        <v>1413</v>
      </c>
      <c r="BB4" s="462" t="s">
        <v>134</v>
      </c>
      <c r="BC4" s="462" t="s">
        <v>1413</v>
      </c>
      <c r="BD4" s="462" t="s">
        <v>134</v>
      </c>
      <c r="BE4" s="462" t="s">
        <v>1413</v>
      </c>
    </row>
    <row r="5" spans="1:57">
      <c r="A5" s="262" t="s">
        <v>136</v>
      </c>
      <c r="B5" s="262"/>
      <c r="C5" s="262"/>
      <c r="D5" s="262"/>
      <c r="E5" s="262"/>
      <c r="F5" s="262"/>
      <c r="G5" s="262"/>
      <c r="H5" s="262"/>
      <c r="I5" s="262"/>
      <c r="J5" s="262"/>
      <c r="K5" s="262"/>
      <c r="L5" s="262"/>
      <c r="M5" s="262"/>
      <c r="N5" s="262"/>
      <c r="O5" s="262"/>
      <c r="P5" s="262"/>
      <c r="Q5" s="262"/>
      <c r="R5" s="262"/>
      <c r="S5" s="262"/>
      <c r="T5" s="262"/>
      <c r="U5" s="262"/>
      <c r="V5" s="262"/>
      <c r="W5" s="262"/>
      <c r="X5" s="262"/>
      <c r="Y5" s="262"/>
      <c r="Z5" s="262"/>
      <c r="AA5" s="262"/>
      <c r="AB5" s="262"/>
      <c r="AC5" s="262"/>
      <c r="AD5" s="262"/>
      <c r="AE5" s="262"/>
      <c r="AF5" s="262"/>
      <c r="AG5" s="262"/>
      <c r="AH5" s="262"/>
      <c r="AI5" s="262"/>
      <c r="AJ5" s="262"/>
      <c r="AK5" s="262"/>
      <c r="AL5" s="262"/>
      <c r="AM5" s="262"/>
      <c r="AN5" s="262"/>
      <c r="AO5" s="262"/>
      <c r="AP5" s="262"/>
      <c r="AQ5" s="262"/>
      <c r="AR5" s="262"/>
      <c r="AS5" s="262"/>
      <c r="AT5" s="262"/>
      <c r="AU5" s="262"/>
      <c r="AV5" s="262"/>
      <c r="AW5" s="262"/>
      <c r="AX5" s="262"/>
      <c r="AY5" s="262"/>
      <c r="AZ5" s="262"/>
      <c r="BA5" s="262"/>
      <c r="BB5" s="262"/>
      <c r="BC5" s="262"/>
      <c r="BD5" s="262"/>
      <c r="BE5" s="262"/>
    </row>
    <row r="6" spans="1:57" s="18" customFormat="1">
      <c r="A6" s="463" t="s">
        <v>651</v>
      </c>
      <c r="B6" s="194">
        <v>9</v>
      </c>
      <c r="C6" s="194">
        <v>7506.2741069999993</v>
      </c>
      <c r="D6" s="194">
        <v>67</v>
      </c>
      <c r="E6" s="194">
        <v>54353.573211499992</v>
      </c>
      <c r="F6" s="194">
        <f>J6+N6+R6+V6+Z6+AD6+AH6+AL6+AP6+AT6+AX6+BB6</f>
        <v>3</v>
      </c>
      <c r="G6" s="194">
        <f>K6+O6+S6+W6+AA6+AE6+AI6+AM6+AQ6+AU6+AY6+BC6</f>
        <v>5746.6458591999999</v>
      </c>
      <c r="H6" s="194">
        <f t="shared" ref="G6:I11" si="0">L6+P6+T6+X6+AB6+AF6+AJ6+AN6+AR6+AV6+AZ6+BD6</f>
        <v>23</v>
      </c>
      <c r="I6" s="194">
        <f>M6+Q6+U6+Y6+AC6+AG6+AK6+AO6+AS6+AW6+BA6+BE6</f>
        <v>30449.939274099997</v>
      </c>
      <c r="J6" s="194">
        <v>0</v>
      </c>
      <c r="K6" s="202">
        <v>0</v>
      </c>
      <c r="L6" s="206">
        <v>3</v>
      </c>
      <c r="M6" s="203">
        <v>5054.67</v>
      </c>
      <c r="N6" s="194">
        <v>2</v>
      </c>
      <c r="O6" s="202">
        <v>5614.6458591999999</v>
      </c>
      <c r="P6" s="206">
        <v>3</v>
      </c>
      <c r="Q6" s="203">
        <v>3991.4845838000001</v>
      </c>
      <c r="R6" s="194">
        <v>1</v>
      </c>
      <c r="S6" s="202">
        <v>132</v>
      </c>
      <c r="T6" s="206">
        <v>4</v>
      </c>
      <c r="U6" s="203">
        <v>1825.2800000000002</v>
      </c>
      <c r="V6" s="194">
        <v>0</v>
      </c>
      <c r="W6" s="202">
        <v>0</v>
      </c>
      <c r="X6" s="206">
        <v>5</v>
      </c>
      <c r="Y6" s="203">
        <v>4878.1799755000002</v>
      </c>
      <c r="Z6" s="194">
        <v>0</v>
      </c>
      <c r="AA6" s="202">
        <v>0</v>
      </c>
      <c r="AB6" s="206">
        <v>8</v>
      </c>
      <c r="AC6" s="203">
        <v>14700.324714799999</v>
      </c>
      <c r="AD6" s="194"/>
      <c r="AE6" s="202"/>
      <c r="AF6" s="206"/>
      <c r="AG6" s="203"/>
      <c r="AH6" s="194"/>
      <c r="AI6" s="202"/>
      <c r="AJ6" s="206"/>
      <c r="AK6" s="203"/>
      <c r="AL6" s="194"/>
      <c r="AM6" s="202"/>
      <c r="AN6" s="206"/>
      <c r="AO6" s="203"/>
      <c r="AP6" s="194"/>
      <c r="AQ6" s="202"/>
      <c r="AR6" s="206"/>
      <c r="AS6" s="203"/>
      <c r="AT6" s="194"/>
      <c r="AU6" s="202"/>
      <c r="AV6" s="206"/>
      <c r="AW6" s="203"/>
      <c r="AX6" s="194"/>
      <c r="AY6" s="202"/>
      <c r="AZ6" s="206"/>
      <c r="BA6" s="203"/>
      <c r="BB6" s="194"/>
      <c r="BC6" s="202"/>
      <c r="BD6" s="206"/>
      <c r="BE6" s="203"/>
    </row>
    <row r="7" spans="1:57" s="18" customFormat="1">
      <c r="A7" s="1174" t="s">
        <v>652</v>
      </c>
      <c r="B7" s="194" t="s">
        <v>235</v>
      </c>
      <c r="C7" s="194">
        <v>2942.2087618999999</v>
      </c>
      <c r="D7" s="194" t="s">
        <v>235</v>
      </c>
      <c r="E7" s="194">
        <v>30160.0312982</v>
      </c>
      <c r="F7" s="270" t="s">
        <v>235</v>
      </c>
      <c r="G7" s="194">
        <f t="shared" si="0"/>
        <v>3489.6458468999999</v>
      </c>
      <c r="H7" s="270" t="s">
        <v>235</v>
      </c>
      <c r="I7" s="194">
        <f>M7+Q7+U7+Y7+AC7+AG7+AK7+AO7+AS7+AW7+BA7+BE7</f>
        <v>16019.407107199999</v>
      </c>
      <c r="J7" s="270" t="s">
        <v>235</v>
      </c>
      <c r="K7" s="202">
        <v>0</v>
      </c>
      <c r="L7" s="195" t="s">
        <v>235</v>
      </c>
      <c r="M7" s="205">
        <v>4624.4736579999999</v>
      </c>
      <c r="N7" s="195" t="s">
        <v>235</v>
      </c>
      <c r="O7" s="204">
        <v>3489.6458468999999</v>
      </c>
      <c r="P7" s="195" t="s">
        <v>235</v>
      </c>
      <c r="Q7" s="205">
        <v>2703.4940821</v>
      </c>
      <c r="R7" s="195" t="s">
        <v>235</v>
      </c>
      <c r="S7" s="204">
        <v>0</v>
      </c>
      <c r="T7" s="195" t="s">
        <v>235</v>
      </c>
      <c r="U7" s="205">
        <v>1180.2934208000001</v>
      </c>
      <c r="V7" s="195" t="s">
        <v>235</v>
      </c>
      <c r="W7" s="204">
        <v>0</v>
      </c>
      <c r="X7" s="195" t="s">
        <v>235</v>
      </c>
      <c r="Y7" s="205">
        <v>1765.0769344999999</v>
      </c>
      <c r="Z7" s="195" t="s">
        <v>235</v>
      </c>
      <c r="AA7" s="204">
        <v>0</v>
      </c>
      <c r="AB7" s="195" t="s">
        <v>235</v>
      </c>
      <c r="AC7" s="205">
        <v>5746.0690118000002</v>
      </c>
      <c r="AD7" s="195"/>
      <c r="AE7" s="204"/>
      <c r="AF7" s="195"/>
      <c r="AG7" s="205"/>
      <c r="AH7" s="195"/>
      <c r="AI7" s="204"/>
      <c r="AJ7" s="195"/>
      <c r="AK7" s="205"/>
      <c r="AL7" s="195"/>
      <c r="AM7" s="204"/>
      <c r="AN7" s="195"/>
      <c r="AO7" s="205"/>
      <c r="AP7" s="195"/>
      <c r="AQ7" s="204"/>
      <c r="AR7" s="195"/>
      <c r="AS7" s="205"/>
      <c r="AT7" s="195"/>
      <c r="AU7" s="204"/>
      <c r="AV7" s="195"/>
      <c r="AW7" s="205"/>
      <c r="AX7" s="195"/>
      <c r="AY7" s="204"/>
      <c r="AZ7" s="195"/>
      <c r="BA7" s="205"/>
      <c r="BB7" s="195"/>
      <c r="BC7" s="204"/>
      <c r="BD7" s="195"/>
      <c r="BE7" s="205"/>
    </row>
    <row r="8" spans="1:57" s="18" customFormat="1">
      <c r="A8" s="1174" t="s">
        <v>653</v>
      </c>
      <c r="B8" s="194" t="s">
        <v>235</v>
      </c>
      <c r="C8" s="194">
        <v>4564.8984638000002</v>
      </c>
      <c r="D8" s="194" t="s">
        <v>235</v>
      </c>
      <c r="E8" s="194">
        <v>24200.778626200001</v>
      </c>
      <c r="F8" s="270" t="s">
        <v>235</v>
      </c>
      <c r="G8" s="194">
        <f t="shared" si="0"/>
        <v>2257.5513492999999</v>
      </c>
      <c r="H8" s="270" t="s">
        <v>235</v>
      </c>
      <c r="I8" s="194">
        <f t="shared" si="0"/>
        <v>14435.704408399999</v>
      </c>
      <c r="J8" s="270" t="s">
        <v>235</v>
      </c>
      <c r="K8" s="202">
        <v>0</v>
      </c>
      <c r="L8" s="195" t="s">
        <v>235</v>
      </c>
      <c r="M8" s="205">
        <v>430.1999725</v>
      </c>
      <c r="N8" s="195" t="s">
        <v>235</v>
      </c>
      <c r="O8" s="196">
        <v>2125.5513492999999</v>
      </c>
      <c r="P8" s="195" t="s">
        <v>235</v>
      </c>
      <c r="Q8" s="205">
        <v>1288.9614293</v>
      </c>
      <c r="R8" s="195" t="s">
        <v>235</v>
      </c>
      <c r="S8" s="196">
        <v>132</v>
      </c>
      <c r="T8" s="195" t="s">
        <v>235</v>
      </c>
      <c r="U8" s="205">
        <v>645.10322650000001</v>
      </c>
      <c r="V8" s="195" t="s">
        <v>235</v>
      </c>
      <c r="W8" s="196">
        <v>0</v>
      </c>
      <c r="X8" s="195" t="s">
        <v>235</v>
      </c>
      <c r="Y8" s="205">
        <v>3114.3413168999996</v>
      </c>
      <c r="Z8" s="195" t="s">
        <v>235</v>
      </c>
      <c r="AA8" s="196">
        <v>0</v>
      </c>
      <c r="AB8" s="195" t="s">
        <v>235</v>
      </c>
      <c r="AC8" s="205">
        <v>8957.0984632</v>
      </c>
      <c r="AD8" s="195"/>
      <c r="AE8" s="196"/>
      <c r="AF8" s="195"/>
      <c r="AG8" s="205"/>
      <c r="AH8" s="195"/>
      <c r="AI8" s="196"/>
      <c r="AJ8" s="195"/>
      <c r="AK8" s="205"/>
      <c r="AL8" s="195"/>
      <c r="AM8" s="196"/>
      <c r="AN8" s="195"/>
      <c r="AO8" s="205"/>
      <c r="AP8" s="195"/>
      <c r="AQ8" s="196"/>
      <c r="AR8" s="195"/>
      <c r="AS8" s="205"/>
      <c r="AT8" s="195"/>
      <c r="AU8" s="196"/>
      <c r="AV8" s="195"/>
      <c r="AW8" s="205"/>
      <c r="AX8" s="195"/>
      <c r="AY8" s="196"/>
      <c r="AZ8" s="195"/>
      <c r="BA8" s="205"/>
      <c r="BB8" s="195"/>
      <c r="BC8" s="196"/>
      <c r="BD8" s="195"/>
      <c r="BE8" s="205"/>
    </row>
    <row r="9" spans="1:57" s="18" customFormat="1">
      <c r="A9" s="463" t="s">
        <v>654</v>
      </c>
      <c r="B9" s="194">
        <v>3</v>
      </c>
      <c r="C9" s="194">
        <v>121.60543999999999</v>
      </c>
      <c r="D9" s="194">
        <v>193</v>
      </c>
      <c r="E9" s="194">
        <v>5973.859480000001</v>
      </c>
      <c r="F9" s="194">
        <f>J9+N9+R9+V9+Z9+AD9+AH9+AL9+AP9+AT9+AX9+BB9</f>
        <v>3</v>
      </c>
      <c r="G9" s="194">
        <f t="shared" si="0"/>
        <v>126.44432</v>
      </c>
      <c r="H9" s="194">
        <f t="shared" si="0"/>
        <v>107</v>
      </c>
      <c r="I9" s="194">
        <f t="shared" si="0"/>
        <v>3582.0432200000005</v>
      </c>
      <c r="J9" s="194">
        <v>0</v>
      </c>
      <c r="K9" s="202">
        <v>0</v>
      </c>
      <c r="L9" s="172">
        <v>23</v>
      </c>
      <c r="M9" s="196">
        <v>672.70851999999991</v>
      </c>
      <c r="N9" s="195">
        <v>0</v>
      </c>
      <c r="O9" s="207">
        <v>0</v>
      </c>
      <c r="P9" s="172">
        <v>21</v>
      </c>
      <c r="Q9" s="196">
        <v>527.21852000000001</v>
      </c>
      <c r="R9" s="195">
        <v>1</v>
      </c>
      <c r="S9" s="207">
        <v>32.520000000000003</v>
      </c>
      <c r="T9" s="172">
        <v>16</v>
      </c>
      <c r="U9" s="196">
        <v>530.8180000000001</v>
      </c>
      <c r="V9" s="195">
        <v>2</v>
      </c>
      <c r="W9" s="207">
        <v>93.924319999999994</v>
      </c>
      <c r="X9" s="172">
        <v>23</v>
      </c>
      <c r="Y9" s="196">
        <v>1088.0824000000002</v>
      </c>
      <c r="Z9" s="195">
        <v>0</v>
      </c>
      <c r="AA9" s="207">
        <v>0</v>
      </c>
      <c r="AB9" s="172">
        <v>24</v>
      </c>
      <c r="AC9" s="196">
        <v>763.21577999999988</v>
      </c>
      <c r="AD9" s="195"/>
      <c r="AE9" s="207"/>
      <c r="AF9" s="172"/>
      <c r="AG9" s="196"/>
      <c r="AH9" s="195"/>
      <c r="AI9" s="207"/>
      <c r="AJ9" s="172"/>
      <c r="AK9" s="196"/>
      <c r="AL9" s="195"/>
      <c r="AM9" s="207"/>
      <c r="AN9" s="172"/>
      <c r="AO9" s="196"/>
      <c r="AP9" s="195"/>
      <c r="AQ9" s="207"/>
      <c r="AR9" s="172"/>
      <c r="AS9" s="196"/>
      <c r="AT9" s="195"/>
      <c r="AU9" s="207"/>
      <c r="AV9" s="172"/>
      <c r="AW9" s="196"/>
      <c r="AX9" s="195"/>
      <c r="AY9" s="207"/>
      <c r="AZ9" s="172"/>
      <c r="BA9" s="196"/>
      <c r="BB9" s="195"/>
      <c r="BC9" s="207"/>
      <c r="BD9" s="172"/>
      <c r="BE9" s="196"/>
    </row>
    <row r="10" spans="1:57" s="18" customFormat="1">
      <c r="A10" s="1174" t="s">
        <v>652</v>
      </c>
      <c r="B10" s="194" t="s">
        <v>235</v>
      </c>
      <c r="C10" s="194">
        <v>6.08</v>
      </c>
      <c r="D10" s="194" t="s">
        <v>235</v>
      </c>
      <c r="E10" s="194">
        <v>322.28524649999997</v>
      </c>
      <c r="F10" s="270" t="s">
        <v>235</v>
      </c>
      <c r="G10" s="194">
        <f t="shared" si="0"/>
        <v>9.2880000000000003</v>
      </c>
      <c r="H10" s="270" t="s">
        <v>235</v>
      </c>
      <c r="I10" s="194">
        <f t="shared" si="0"/>
        <v>218.45724000000001</v>
      </c>
      <c r="J10" s="270" t="s">
        <v>235</v>
      </c>
      <c r="K10" s="202">
        <v>0</v>
      </c>
      <c r="L10" s="195" t="s">
        <v>235</v>
      </c>
      <c r="M10" s="196">
        <v>0</v>
      </c>
      <c r="N10" s="195" t="s">
        <v>235</v>
      </c>
      <c r="O10" s="204">
        <v>0</v>
      </c>
      <c r="P10" s="195" t="s">
        <v>235</v>
      </c>
      <c r="Q10" s="196">
        <v>6.5987999999999998</v>
      </c>
      <c r="R10" s="195" t="s">
        <v>235</v>
      </c>
      <c r="S10" s="204">
        <v>9.2880000000000003</v>
      </c>
      <c r="T10" s="195" t="s">
        <v>235</v>
      </c>
      <c r="U10" s="196">
        <v>48.536000000000001</v>
      </c>
      <c r="V10" s="195" t="s">
        <v>235</v>
      </c>
      <c r="W10" s="204">
        <v>0</v>
      </c>
      <c r="X10" s="195" t="s">
        <v>235</v>
      </c>
      <c r="Y10" s="196">
        <v>156.88276000000002</v>
      </c>
      <c r="Z10" s="195" t="s">
        <v>235</v>
      </c>
      <c r="AA10" s="204">
        <v>0</v>
      </c>
      <c r="AB10" s="195" t="s">
        <v>235</v>
      </c>
      <c r="AC10" s="196">
        <v>6.4396800000000001</v>
      </c>
      <c r="AD10" s="195"/>
      <c r="AE10" s="204"/>
      <c r="AF10" s="195"/>
      <c r="AG10" s="196"/>
      <c r="AH10" s="195"/>
      <c r="AI10" s="204"/>
      <c r="AJ10" s="195"/>
      <c r="AK10" s="196"/>
      <c r="AL10" s="195"/>
      <c r="AM10" s="204"/>
      <c r="AN10" s="195"/>
      <c r="AO10" s="196"/>
      <c r="AP10" s="195"/>
      <c r="AQ10" s="204"/>
      <c r="AR10" s="195"/>
      <c r="AS10" s="196"/>
      <c r="AT10" s="195"/>
      <c r="AU10" s="204"/>
      <c r="AV10" s="195"/>
      <c r="AW10" s="196"/>
      <c r="AX10" s="195"/>
      <c r="AY10" s="204"/>
      <c r="AZ10" s="195"/>
      <c r="BA10" s="196"/>
      <c r="BB10" s="195"/>
      <c r="BC10" s="204"/>
      <c r="BD10" s="195"/>
      <c r="BE10" s="196"/>
    </row>
    <row r="11" spans="1:57" s="18" customFormat="1">
      <c r="A11" s="1174" t="s">
        <v>653</v>
      </c>
      <c r="B11" s="194" t="s">
        <v>235</v>
      </c>
      <c r="C11" s="194">
        <v>115.52356</v>
      </c>
      <c r="D11" s="194" t="s">
        <v>235</v>
      </c>
      <c r="E11" s="194">
        <v>5651.7001455</v>
      </c>
      <c r="F11" s="270" t="s">
        <v>235</v>
      </c>
      <c r="G11" s="194">
        <f t="shared" si="0"/>
        <v>117.15631999999999</v>
      </c>
      <c r="H11" s="270" t="s">
        <v>235</v>
      </c>
      <c r="I11" s="194">
        <f t="shared" si="0"/>
        <v>3363.7516599999994</v>
      </c>
      <c r="J11" s="270" t="s">
        <v>235</v>
      </c>
      <c r="K11" s="202">
        <v>0</v>
      </c>
      <c r="L11" s="195" t="s">
        <v>235</v>
      </c>
      <c r="M11" s="196">
        <v>672.72667999999987</v>
      </c>
      <c r="N11" s="195" t="s">
        <v>235</v>
      </c>
      <c r="O11" s="204">
        <v>0</v>
      </c>
      <c r="P11" s="195" t="s">
        <v>235</v>
      </c>
      <c r="Q11" s="196">
        <v>520.62464</v>
      </c>
      <c r="R11" s="195" t="s">
        <v>235</v>
      </c>
      <c r="S11" s="204">
        <v>23.231999999999999</v>
      </c>
      <c r="T11" s="195" t="s">
        <v>235</v>
      </c>
      <c r="U11" s="196">
        <v>482.30420000000004</v>
      </c>
      <c r="V11" s="195" t="s">
        <v>235</v>
      </c>
      <c r="W11" s="204">
        <v>93.924319999999994</v>
      </c>
      <c r="X11" s="195" t="s">
        <v>235</v>
      </c>
      <c r="Y11" s="196">
        <v>931.2526399999997</v>
      </c>
      <c r="Z11" s="195" t="s">
        <v>235</v>
      </c>
      <c r="AA11" s="204">
        <v>0</v>
      </c>
      <c r="AB11" s="195" t="s">
        <v>235</v>
      </c>
      <c r="AC11" s="196">
        <v>756.84349999999995</v>
      </c>
      <c r="AD11" s="195"/>
      <c r="AE11" s="204"/>
      <c r="AF11" s="195"/>
      <c r="AG11" s="196"/>
      <c r="AH11" s="195"/>
      <c r="AI11" s="204"/>
      <c r="AJ11" s="195"/>
      <c r="AK11" s="196"/>
      <c r="AL11" s="195"/>
      <c r="AM11" s="204"/>
      <c r="AN11" s="195"/>
      <c r="AO11" s="196"/>
      <c r="AP11" s="195"/>
      <c r="AQ11" s="204"/>
      <c r="AR11" s="195"/>
      <c r="AS11" s="196"/>
      <c r="AT11" s="195"/>
      <c r="AU11" s="204"/>
      <c r="AV11" s="195"/>
      <c r="AW11" s="196"/>
      <c r="AX11" s="195"/>
      <c r="AY11" s="204"/>
      <c r="AZ11" s="195"/>
      <c r="BA11" s="196"/>
      <c r="BB11" s="195"/>
      <c r="BC11" s="204"/>
      <c r="BD11" s="195"/>
      <c r="BE11" s="196"/>
    </row>
    <row r="12" spans="1:57" s="18" customFormat="1">
      <c r="A12" s="463" t="s">
        <v>655</v>
      </c>
      <c r="B12" s="194">
        <v>12</v>
      </c>
      <c r="C12" s="194">
        <v>7627.8795469999995</v>
      </c>
      <c r="D12" s="194">
        <v>260</v>
      </c>
      <c r="E12" s="194">
        <v>60327.432691499991</v>
      </c>
      <c r="F12" s="172">
        <f t="shared" ref="F12:BE12" si="1">F9+F6</f>
        <v>6</v>
      </c>
      <c r="G12" s="207">
        <f t="shared" si="1"/>
        <v>5873.0901791999995</v>
      </c>
      <c r="H12" s="172">
        <f t="shared" si="1"/>
        <v>130</v>
      </c>
      <c r="I12" s="205">
        <f t="shared" si="1"/>
        <v>34031.982494099997</v>
      </c>
      <c r="J12" s="172">
        <f t="shared" si="1"/>
        <v>0</v>
      </c>
      <c r="K12" s="207">
        <f t="shared" si="1"/>
        <v>0</v>
      </c>
      <c r="L12" s="172">
        <f t="shared" si="1"/>
        <v>26</v>
      </c>
      <c r="M12" s="205">
        <f t="shared" si="1"/>
        <v>5727.3785200000002</v>
      </c>
      <c r="N12" s="172">
        <f t="shared" si="1"/>
        <v>2</v>
      </c>
      <c r="O12" s="207">
        <f t="shared" si="1"/>
        <v>5614.6458591999999</v>
      </c>
      <c r="P12" s="172">
        <f t="shared" si="1"/>
        <v>24</v>
      </c>
      <c r="Q12" s="205">
        <f t="shared" si="1"/>
        <v>4518.7031038000005</v>
      </c>
      <c r="R12" s="172">
        <f t="shared" si="1"/>
        <v>2</v>
      </c>
      <c r="S12" s="207">
        <f t="shared" si="1"/>
        <v>164.52</v>
      </c>
      <c r="T12" s="172">
        <f t="shared" si="1"/>
        <v>20</v>
      </c>
      <c r="U12" s="205">
        <f t="shared" si="1"/>
        <v>2356.0980000000004</v>
      </c>
      <c r="V12" s="172">
        <f t="shared" si="1"/>
        <v>2</v>
      </c>
      <c r="W12" s="207">
        <f t="shared" si="1"/>
        <v>93.924319999999994</v>
      </c>
      <c r="X12" s="172">
        <f t="shared" si="1"/>
        <v>28</v>
      </c>
      <c r="Y12" s="205">
        <f t="shared" si="1"/>
        <v>5966.2623755000004</v>
      </c>
      <c r="Z12" s="172">
        <f t="shared" si="1"/>
        <v>0</v>
      </c>
      <c r="AA12" s="207">
        <f t="shared" si="1"/>
        <v>0</v>
      </c>
      <c r="AB12" s="172">
        <f t="shared" si="1"/>
        <v>32</v>
      </c>
      <c r="AC12" s="205">
        <f t="shared" si="1"/>
        <v>15463.5404948</v>
      </c>
      <c r="AD12" s="172">
        <f t="shared" si="1"/>
        <v>0</v>
      </c>
      <c r="AE12" s="207">
        <f t="shared" si="1"/>
        <v>0</v>
      </c>
      <c r="AF12" s="172">
        <f t="shared" si="1"/>
        <v>0</v>
      </c>
      <c r="AG12" s="205">
        <f t="shared" si="1"/>
        <v>0</v>
      </c>
      <c r="AH12" s="172">
        <f t="shared" si="1"/>
        <v>0</v>
      </c>
      <c r="AI12" s="207">
        <f t="shared" si="1"/>
        <v>0</v>
      </c>
      <c r="AJ12" s="172">
        <f t="shared" si="1"/>
        <v>0</v>
      </c>
      <c r="AK12" s="205">
        <f t="shared" si="1"/>
        <v>0</v>
      </c>
      <c r="AL12" s="172">
        <f t="shared" si="1"/>
        <v>0</v>
      </c>
      <c r="AM12" s="207">
        <f t="shared" si="1"/>
        <v>0</v>
      </c>
      <c r="AN12" s="172">
        <f t="shared" si="1"/>
        <v>0</v>
      </c>
      <c r="AO12" s="205">
        <f t="shared" si="1"/>
        <v>0</v>
      </c>
      <c r="AP12" s="172">
        <f t="shared" si="1"/>
        <v>0</v>
      </c>
      <c r="AQ12" s="207">
        <f t="shared" si="1"/>
        <v>0</v>
      </c>
      <c r="AR12" s="172">
        <f t="shared" si="1"/>
        <v>0</v>
      </c>
      <c r="AS12" s="205">
        <f t="shared" si="1"/>
        <v>0</v>
      </c>
      <c r="AT12" s="172">
        <f t="shared" si="1"/>
        <v>0</v>
      </c>
      <c r="AU12" s="207">
        <f t="shared" si="1"/>
        <v>0</v>
      </c>
      <c r="AV12" s="172">
        <f t="shared" si="1"/>
        <v>0</v>
      </c>
      <c r="AW12" s="205">
        <f t="shared" si="1"/>
        <v>0</v>
      </c>
      <c r="AX12" s="172">
        <f t="shared" si="1"/>
        <v>0</v>
      </c>
      <c r="AY12" s="207">
        <f t="shared" si="1"/>
        <v>0</v>
      </c>
      <c r="AZ12" s="172">
        <f t="shared" si="1"/>
        <v>0</v>
      </c>
      <c r="BA12" s="205">
        <f t="shared" si="1"/>
        <v>0</v>
      </c>
      <c r="BB12" s="205">
        <f t="shared" si="1"/>
        <v>0</v>
      </c>
      <c r="BC12" s="205">
        <f t="shared" si="1"/>
        <v>0</v>
      </c>
      <c r="BD12" s="205">
        <f t="shared" si="1"/>
        <v>0</v>
      </c>
      <c r="BE12" s="205">
        <f t="shared" si="1"/>
        <v>0</v>
      </c>
    </row>
    <row r="13" spans="1:57" s="18" customFormat="1">
      <c r="A13" s="1174" t="s">
        <v>656</v>
      </c>
      <c r="B13" s="194" t="s">
        <v>235</v>
      </c>
      <c r="C13" s="194">
        <v>2948.2887618999998</v>
      </c>
      <c r="D13" s="194" t="s">
        <v>235</v>
      </c>
      <c r="E13" s="194">
        <v>30482.316544699999</v>
      </c>
      <c r="F13" s="195" t="s">
        <v>235</v>
      </c>
      <c r="G13" s="207">
        <f>G7+G10</f>
        <v>3498.9338468999999</v>
      </c>
      <c r="H13" s="195" t="s">
        <v>235</v>
      </c>
      <c r="I13" s="205">
        <f>I7+I10</f>
        <v>16237.864347199999</v>
      </c>
      <c r="J13" s="195" t="s">
        <v>235</v>
      </c>
      <c r="K13" s="207">
        <f>K7+K10</f>
        <v>0</v>
      </c>
      <c r="L13" s="195" t="s">
        <v>235</v>
      </c>
      <c r="M13" s="205">
        <f>M7+M10</f>
        <v>4624.4736579999999</v>
      </c>
      <c r="N13" s="195" t="s">
        <v>235</v>
      </c>
      <c r="O13" s="207">
        <f>O7+O10</f>
        <v>3489.6458468999999</v>
      </c>
      <c r="P13" s="195" t="s">
        <v>235</v>
      </c>
      <c r="Q13" s="205">
        <f>Q7+Q10</f>
        <v>2710.0928821000002</v>
      </c>
      <c r="R13" s="195" t="s">
        <v>235</v>
      </c>
      <c r="S13" s="207">
        <f>S7+S10</f>
        <v>9.2880000000000003</v>
      </c>
      <c r="T13" s="195" t="s">
        <v>235</v>
      </c>
      <c r="U13" s="205">
        <f>U7+U10</f>
        <v>1228.8294208000002</v>
      </c>
      <c r="V13" s="195" t="s">
        <v>235</v>
      </c>
      <c r="W13" s="207">
        <f>W7+W10</f>
        <v>0</v>
      </c>
      <c r="X13" s="195" t="s">
        <v>235</v>
      </c>
      <c r="Y13" s="205">
        <f>Y7+Y10</f>
        <v>1921.9596944999998</v>
      </c>
      <c r="Z13" s="195" t="s">
        <v>235</v>
      </c>
      <c r="AA13" s="207">
        <f>AA7+AA10</f>
        <v>0</v>
      </c>
      <c r="AB13" s="195" t="s">
        <v>235</v>
      </c>
      <c r="AC13" s="205">
        <f>AC7+AC10</f>
        <v>5752.5086918000006</v>
      </c>
      <c r="AD13" s="195" t="s">
        <v>235</v>
      </c>
      <c r="AE13" s="207">
        <f>AE7+AE10</f>
        <v>0</v>
      </c>
      <c r="AF13" s="195" t="s">
        <v>235</v>
      </c>
      <c r="AG13" s="205">
        <f>AG7+AG10</f>
        <v>0</v>
      </c>
      <c r="AH13" s="195" t="s">
        <v>235</v>
      </c>
      <c r="AI13" s="207">
        <f>AI7+AI10</f>
        <v>0</v>
      </c>
      <c r="AJ13" s="195" t="s">
        <v>235</v>
      </c>
      <c r="AK13" s="205">
        <f>AK7+AK10</f>
        <v>0</v>
      </c>
      <c r="AL13" s="195" t="s">
        <v>235</v>
      </c>
      <c r="AM13" s="207">
        <f>AM7+AM10</f>
        <v>0</v>
      </c>
      <c r="AN13" s="195" t="s">
        <v>235</v>
      </c>
      <c r="AO13" s="205">
        <f>AO7+AO10</f>
        <v>0</v>
      </c>
      <c r="AP13" s="195" t="s">
        <v>235</v>
      </c>
      <c r="AQ13" s="207">
        <f>AQ7+AQ10</f>
        <v>0</v>
      </c>
      <c r="AR13" s="195" t="s">
        <v>235</v>
      </c>
      <c r="AS13" s="205">
        <f>AS7+AS10</f>
        <v>0</v>
      </c>
      <c r="AT13" s="195" t="s">
        <v>235</v>
      </c>
      <c r="AU13" s="207">
        <f>AU7+AU10</f>
        <v>0</v>
      </c>
      <c r="AV13" s="195" t="s">
        <v>235</v>
      </c>
      <c r="AW13" s="205">
        <f>AW7+AW10</f>
        <v>0</v>
      </c>
      <c r="AX13" s="195" t="s">
        <v>235</v>
      </c>
      <c r="AY13" s="207">
        <f>AY7+AY10</f>
        <v>0</v>
      </c>
      <c r="AZ13" s="195" t="s">
        <v>235</v>
      </c>
      <c r="BA13" s="205">
        <f>BA7+BA10</f>
        <v>0</v>
      </c>
      <c r="BB13" s="195" t="s">
        <v>235</v>
      </c>
      <c r="BC13" s="207">
        <f>BC7+BC10</f>
        <v>0</v>
      </c>
      <c r="BD13" s="195" t="s">
        <v>235</v>
      </c>
      <c r="BE13" s="207">
        <f>BE7+BE10</f>
        <v>0</v>
      </c>
    </row>
    <row r="14" spans="1:57" s="18" customFormat="1">
      <c r="A14" s="1174" t="s">
        <v>657</v>
      </c>
      <c r="B14" s="194" t="s">
        <v>235</v>
      </c>
      <c r="C14" s="194">
        <v>4680.4220237999998</v>
      </c>
      <c r="D14" s="194" t="s">
        <v>235</v>
      </c>
      <c r="E14" s="194">
        <v>29852.4787717</v>
      </c>
      <c r="F14" s="195" t="s">
        <v>235</v>
      </c>
      <c r="G14" s="207">
        <f>G8+G11</f>
        <v>2374.7076692999999</v>
      </c>
      <c r="H14" s="195" t="s">
        <v>235</v>
      </c>
      <c r="I14" s="205">
        <f>I11+I8</f>
        <v>17799.456068399999</v>
      </c>
      <c r="J14" s="195" t="s">
        <v>235</v>
      </c>
      <c r="K14" s="207">
        <f>K8+K11</f>
        <v>0</v>
      </c>
      <c r="L14" s="195" t="s">
        <v>235</v>
      </c>
      <c r="M14" s="205">
        <f>M11+M8</f>
        <v>1102.9266524999998</v>
      </c>
      <c r="N14" s="195" t="s">
        <v>235</v>
      </c>
      <c r="O14" s="207">
        <f>O8+O11</f>
        <v>2125.5513492999999</v>
      </c>
      <c r="P14" s="195" t="s">
        <v>235</v>
      </c>
      <c r="Q14" s="205">
        <f>Q11+Q8</f>
        <v>1809.5860693</v>
      </c>
      <c r="R14" s="195" t="s">
        <v>235</v>
      </c>
      <c r="S14" s="207">
        <f>S8+S11</f>
        <v>155.232</v>
      </c>
      <c r="T14" s="195" t="s">
        <v>235</v>
      </c>
      <c r="U14" s="205">
        <f>U11+U8</f>
        <v>1127.4074264999999</v>
      </c>
      <c r="V14" s="195" t="s">
        <v>235</v>
      </c>
      <c r="W14" s="207">
        <f>W8+W11</f>
        <v>93.924319999999994</v>
      </c>
      <c r="X14" s="195" t="s">
        <v>235</v>
      </c>
      <c r="Y14" s="205">
        <f>Y11+Y8</f>
        <v>4045.5939568999993</v>
      </c>
      <c r="Z14" s="195" t="s">
        <v>235</v>
      </c>
      <c r="AA14" s="207">
        <f>AA8+AA11</f>
        <v>0</v>
      </c>
      <c r="AB14" s="195" t="s">
        <v>235</v>
      </c>
      <c r="AC14" s="205">
        <f>AC11+AC8</f>
        <v>9713.941963199999</v>
      </c>
      <c r="AD14" s="195" t="s">
        <v>235</v>
      </c>
      <c r="AE14" s="207">
        <f>AE8+AE11</f>
        <v>0</v>
      </c>
      <c r="AF14" s="195" t="s">
        <v>235</v>
      </c>
      <c r="AG14" s="205">
        <f>AG11+AG8</f>
        <v>0</v>
      </c>
      <c r="AH14" s="195" t="s">
        <v>235</v>
      </c>
      <c r="AI14" s="207">
        <f>AI8+AI11</f>
        <v>0</v>
      </c>
      <c r="AJ14" s="195" t="s">
        <v>235</v>
      </c>
      <c r="AK14" s="205">
        <f>AK11+AK8</f>
        <v>0</v>
      </c>
      <c r="AL14" s="195" t="s">
        <v>235</v>
      </c>
      <c r="AM14" s="207">
        <f>AM8+AM11</f>
        <v>0</v>
      </c>
      <c r="AN14" s="195" t="s">
        <v>235</v>
      </c>
      <c r="AO14" s="205">
        <f>AO11+AO8</f>
        <v>0</v>
      </c>
      <c r="AP14" s="195" t="s">
        <v>235</v>
      </c>
      <c r="AQ14" s="207">
        <f>AQ8+AQ11</f>
        <v>0</v>
      </c>
      <c r="AR14" s="195" t="s">
        <v>235</v>
      </c>
      <c r="AS14" s="205">
        <f>AS11+AS8</f>
        <v>0</v>
      </c>
      <c r="AT14" s="195" t="s">
        <v>235</v>
      </c>
      <c r="AU14" s="207">
        <f>AU8+AU11</f>
        <v>0</v>
      </c>
      <c r="AV14" s="195" t="s">
        <v>235</v>
      </c>
      <c r="AW14" s="205">
        <f>AW11+AW8</f>
        <v>0</v>
      </c>
      <c r="AX14" s="195" t="s">
        <v>235</v>
      </c>
      <c r="AY14" s="207">
        <f>AY8+AY11</f>
        <v>0</v>
      </c>
      <c r="AZ14" s="195" t="s">
        <v>235</v>
      </c>
      <c r="BA14" s="205">
        <f>BA11+BA8</f>
        <v>0</v>
      </c>
      <c r="BB14" s="195" t="s">
        <v>235</v>
      </c>
      <c r="BC14" s="207">
        <f>BC8+BC11</f>
        <v>0</v>
      </c>
      <c r="BD14" s="195" t="s">
        <v>235</v>
      </c>
      <c r="BE14" s="207">
        <f>BE8+BE11</f>
        <v>0</v>
      </c>
    </row>
    <row r="15" spans="1:57" s="18" customFormat="1">
      <c r="A15" s="463" t="s">
        <v>658</v>
      </c>
      <c r="B15" s="194">
        <v>0</v>
      </c>
      <c r="C15" s="194">
        <v>0</v>
      </c>
      <c r="D15" s="194">
        <v>0</v>
      </c>
      <c r="E15" s="194">
        <v>0</v>
      </c>
      <c r="F15" s="194">
        <f t="shared" ref="F15:I20" si="2">J15+N15+R15+V15+Z15+AD15+AH15+AL15+AP15+AT15+AX15+BB15</f>
        <v>0</v>
      </c>
      <c r="G15" s="194">
        <f t="shared" si="2"/>
        <v>0</v>
      </c>
      <c r="H15" s="194">
        <f t="shared" si="2"/>
        <v>1</v>
      </c>
      <c r="I15" s="194">
        <f t="shared" si="2"/>
        <v>17999.999999299998</v>
      </c>
      <c r="J15" s="204">
        <f>J16+J17</f>
        <v>0</v>
      </c>
      <c r="K15" s="204">
        <f>K16+K17</f>
        <v>0</v>
      </c>
      <c r="L15" s="204">
        <v>1</v>
      </c>
      <c r="M15" s="357">
        <v>17999.999999299998</v>
      </c>
      <c r="N15" s="204">
        <f t="shared" ref="N15:BE15" si="3">N16+N17</f>
        <v>0</v>
      </c>
      <c r="O15" s="204">
        <f t="shared" si="3"/>
        <v>0</v>
      </c>
      <c r="P15" s="204">
        <f t="shared" si="3"/>
        <v>0</v>
      </c>
      <c r="Q15" s="204">
        <f t="shared" si="3"/>
        <v>0</v>
      </c>
      <c r="R15" s="204">
        <f t="shared" si="3"/>
        <v>0</v>
      </c>
      <c r="S15" s="204">
        <f t="shared" si="3"/>
        <v>0</v>
      </c>
      <c r="T15" s="204">
        <f t="shared" si="3"/>
        <v>0</v>
      </c>
      <c r="U15" s="204">
        <f t="shared" si="3"/>
        <v>0</v>
      </c>
      <c r="V15" s="204">
        <f t="shared" si="3"/>
        <v>0</v>
      </c>
      <c r="W15" s="204">
        <f t="shared" si="3"/>
        <v>0</v>
      </c>
      <c r="X15" s="204">
        <f t="shared" si="3"/>
        <v>0</v>
      </c>
      <c r="Y15" s="204">
        <f t="shared" si="3"/>
        <v>0</v>
      </c>
      <c r="Z15" s="204">
        <f t="shared" si="3"/>
        <v>0</v>
      </c>
      <c r="AA15" s="204">
        <f t="shared" si="3"/>
        <v>0</v>
      </c>
      <c r="AB15" s="204">
        <f t="shared" si="3"/>
        <v>0</v>
      </c>
      <c r="AC15" s="204">
        <f t="shared" si="3"/>
        <v>0</v>
      </c>
      <c r="AD15" s="204">
        <f t="shared" si="3"/>
        <v>0</v>
      </c>
      <c r="AE15" s="204">
        <f t="shared" si="3"/>
        <v>0</v>
      </c>
      <c r="AF15" s="204">
        <f t="shared" si="3"/>
        <v>0</v>
      </c>
      <c r="AG15" s="204">
        <f t="shared" si="3"/>
        <v>0</v>
      </c>
      <c r="AH15" s="204">
        <f t="shared" si="3"/>
        <v>0</v>
      </c>
      <c r="AI15" s="204">
        <f t="shared" si="3"/>
        <v>0</v>
      </c>
      <c r="AJ15" s="204">
        <f t="shared" si="3"/>
        <v>0</v>
      </c>
      <c r="AK15" s="204">
        <f t="shared" si="3"/>
        <v>0</v>
      </c>
      <c r="AL15" s="204">
        <f t="shared" si="3"/>
        <v>0</v>
      </c>
      <c r="AM15" s="204">
        <f t="shared" si="3"/>
        <v>0</v>
      </c>
      <c r="AN15" s="204">
        <f t="shared" si="3"/>
        <v>0</v>
      </c>
      <c r="AO15" s="204">
        <f t="shared" si="3"/>
        <v>0</v>
      </c>
      <c r="AP15" s="204">
        <f t="shared" si="3"/>
        <v>0</v>
      </c>
      <c r="AQ15" s="204">
        <f t="shared" si="3"/>
        <v>0</v>
      </c>
      <c r="AR15" s="204">
        <f t="shared" si="3"/>
        <v>0</v>
      </c>
      <c r="AS15" s="204">
        <f t="shared" si="3"/>
        <v>0</v>
      </c>
      <c r="AT15" s="204">
        <f t="shared" si="3"/>
        <v>0</v>
      </c>
      <c r="AU15" s="204">
        <f t="shared" si="3"/>
        <v>0</v>
      </c>
      <c r="AV15" s="204">
        <f t="shared" si="3"/>
        <v>0</v>
      </c>
      <c r="AW15" s="204">
        <f t="shared" si="3"/>
        <v>0</v>
      </c>
      <c r="AX15" s="204">
        <f t="shared" si="3"/>
        <v>0</v>
      </c>
      <c r="AY15" s="204">
        <f t="shared" si="3"/>
        <v>0</v>
      </c>
      <c r="AZ15" s="204">
        <f t="shared" si="3"/>
        <v>0</v>
      </c>
      <c r="BA15" s="204">
        <f t="shared" si="3"/>
        <v>0</v>
      </c>
      <c r="BB15" s="204">
        <f t="shared" si="3"/>
        <v>0</v>
      </c>
      <c r="BC15" s="204">
        <f t="shared" si="3"/>
        <v>0</v>
      </c>
      <c r="BD15" s="204">
        <f t="shared" si="3"/>
        <v>0</v>
      </c>
      <c r="BE15" s="204">
        <f t="shared" si="3"/>
        <v>0</v>
      </c>
    </row>
    <row r="16" spans="1:57" s="18" customFormat="1">
      <c r="A16" s="1174" t="s">
        <v>652</v>
      </c>
      <c r="B16" s="194">
        <v>0</v>
      </c>
      <c r="C16" s="194">
        <v>0</v>
      </c>
      <c r="D16" s="194">
        <v>0</v>
      </c>
      <c r="E16" s="194">
        <v>0</v>
      </c>
      <c r="F16" s="194">
        <f t="shared" si="2"/>
        <v>0</v>
      </c>
      <c r="G16" s="194">
        <f t="shared" si="2"/>
        <v>0</v>
      </c>
      <c r="H16" s="194">
        <f t="shared" si="2"/>
        <v>0</v>
      </c>
      <c r="I16" s="194">
        <f t="shared" si="2"/>
        <v>0</v>
      </c>
      <c r="J16" s="195">
        <v>0</v>
      </c>
      <c r="K16" s="195">
        <v>0</v>
      </c>
      <c r="L16" s="195">
        <v>0</v>
      </c>
      <c r="M16" s="195">
        <v>0</v>
      </c>
      <c r="N16" s="195">
        <v>0</v>
      </c>
      <c r="O16" s="195">
        <v>0</v>
      </c>
      <c r="P16" s="195">
        <v>0</v>
      </c>
      <c r="Q16" s="195">
        <v>0</v>
      </c>
      <c r="R16" s="195">
        <v>0</v>
      </c>
      <c r="S16" s="195">
        <v>0</v>
      </c>
      <c r="T16" s="195">
        <v>0</v>
      </c>
      <c r="U16" s="195">
        <v>0</v>
      </c>
      <c r="V16" s="195">
        <v>0</v>
      </c>
      <c r="W16" s="204">
        <v>0</v>
      </c>
      <c r="X16" s="204">
        <v>0</v>
      </c>
      <c r="Y16" s="204">
        <v>0</v>
      </c>
      <c r="Z16" s="204">
        <v>0</v>
      </c>
      <c r="AA16" s="204">
        <v>0</v>
      </c>
      <c r="AB16" s="204">
        <v>0</v>
      </c>
      <c r="AC16" s="204">
        <v>0</v>
      </c>
      <c r="AD16" s="195"/>
      <c r="AE16" s="204"/>
      <c r="AF16" s="195"/>
      <c r="AG16" s="208"/>
      <c r="AH16" s="195"/>
      <c r="AI16" s="204"/>
      <c r="AJ16" s="195"/>
      <c r="AK16" s="208"/>
      <c r="AL16" s="195"/>
      <c r="AM16" s="204"/>
      <c r="AN16" s="195"/>
      <c r="AO16" s="208"/>
      <c r="AP16" s="195"/>
      <c r="AQ16" s="204"/>
      <c r="AR16" s="195"/>
      <c r="AS16" s="208"/>
      <c r="AT16" s="195"/>
      <c r="AU16" s="204"/>
      <c r="AV16" s="195"/>
      <c r="AW16" s="208"/>
      <c r="AX16" s="195"/>
      <c r="AY16" s="204"/>
      <c r="AZ16" s="195"/>
      <c r="BA16" s="208"/>
      <c r="BB16" s="208"/>
      <c r="BC16" s="208"/>
      <c r="BD16" s="208"/>
      <c r="BE16" s="208"/>
    </row>
    <row r="17" spans="1:57" s="18" customFormat="1">
      <c r="A17" s="1174" t="s">
        <v>653</v>
      </c>
      <c r="B17" s="194">
        <v>0</v>
      </c>
      <c r="C17" s="194">
        <v>0</v>
      </c>
      <c r="D17" s="194">
        <v>0</v>
      </c>
      <c r="E17" s="194">
        <v>0</v>
      </c>
      <c r="F17" s="194">
        <f t="shared" si="2"/>
        <v>0</v>
      </c>
      <c r="G17" s="194">
        <f t="shared" si="2"/>
        <v>0</v>
      </c>
      <c r="H17" s="194">
        <f t="shared" si="2"/>
        <v>1</v>
      </c>
      <c r="I17" s="194">
        <f t="shared" si="2"/>
        <v>17999.999999299998</v>
      </c>
      <c r="J17" s="195">
        <v>0</v>
      </c>
      <c r="K17" s="204">
        <v>0</v>
      </c>
      <c r="L17" s="195">
        <v>1</v>
      </c>
      <c r="M17" s="357">
        <v>17999.999999299998</v>
      </c>
      <c r="N17" s="195">
        <v>0</v>
      </c>
      <c r="O17" s="195">
        <v>0</v>
      </c>
      <c r="P17" s="195">
        <v>0</v>
      </c>
      <c r="Q17" s="195">
        <v>0</v>
      </c>
      <c r="R17" s="195">
        <v>0</v>
      </c>
      <c r="S17" s="195">
        <v>0</v>
      </c>
      <c r="T17" s="195">
        <v>0</v>
      </c>
      <c r="U17" s="195">
        <v>0</v>
      </c>
      <c r="V17" s="195">
        <v>0</v>
      </c>
      <c r="W17" s="204">
        <v>0</v>
      </c>
      <c r="X17" s="204">
        <v>0</v>
      </c>
      <c r="Y17" s="204">
        <v>0</v>
      </c>
      <c r="Z17" s="204">
        <v>0</v>
      </c>
      <c r="AA17" s="204">
        <v>0</v>
      </c>
      <c r="AB17" s="204">
        <v>0</v>
      </c>
      <c r="AC17" s="204">
        <v>0</v>
      </c>
      <c r="AD17" s="195"/>
      <c r="AE17" s="204"/>
      <c r="AF17" s="195"/>
      <c r="AG17" s="208"/>
      <c r="AH17" s="195"/>
      <c r="AI17" s="204"/>
      <c r="AJ17" s="195"/>
      <c r="AK17" s="208"/>
      <c r="AL17" s="195"/>
      <c r="AM17" s="204"/>
      <c r="AN17" s="195"/>
      <c r="AO17" s="208"/>
      <c r="AP17" s="195"/>
      <c r="AQ17" s="204"/>
      <c r="AR17" s="195"/>
      <c r="AS17" s="208"/>
      <c r="AT17" s="195"/>
      <c r="AU17" s="204"/>
      <c r="AV17" s="195"/>
      <c r="AW17" s="208"/>
      <c r="AX17" s="195"/>
      <c r="AY17" s="204"/>
      <c r="AZ17" s="195"/>
      <c r="BA17" s="208"/>
      <c r="BB17" s="208"/>
      <c r="BC17" s="208"/>
      <c r="BD17" s="208"/>
      <c r="BE17" s="208"/>
    </row>
    <row r="18" spans="1:57" s="18" customFormat="1">
      <c r="A18" s="463" t="s">
        <v>659</v>
      </c>
      <c r="B18" s="194">
        <v>0</v>
      </c>
      <c r="C18" s="194">
        <v>0</v>
      </c>
      <c r="D18" s="194">
        <v>1</v>
      </c>
      <c r="E18" s="194">
        <v>27</v>
      </c>
      <c r="F18" s="194">
        <f t="shared" si="2"/>
        <v>0</v>
      </c>
      <c r="G18" s="194">
        <f t="shared" si="2"/>
        <v>0</v>
      </c>
      <c r="H18" s="194">
        <f t="shared" si="2"/>
        <v>1</v>
      </c>
      <c r="I18" s="194">
        <f t="shared" si="2"/>
        <v>149.99</v>
      </c>
      <c r="J18" s="204">
        <f t="shared" ref="J18:BE18" si="4">J19+J20</f>
        <v>0</v>
      </c>
      <c r="K18" s="204">
        <f t="shared" si="4"/>
        <v>0</v>
      </c>
      <c r="L18" s="204">
        <f t="shared" si="4"/>
        <v>0</v>
      </c>
      <c r="M18" s="204">
        <f t="shared" si="4"/>
        <v>0</v>
      </c>
      <c r="N18" s="204">
        <f t="shared" si="4"/>
        <v>0</v>
      </c>
      <c r="O18" s="204">
        <f t="shared" si="4"/>
        <v>0</v>
      </c>
      <c r="P18" s="204">
        <f t="shared" si="4"/>
        <v>0</v>
      </c>
      <c r="Q18" s="204">
        <f t="shared" si="4"/>
        <v>0</v>
      </c>
      <c r="R18" s="204">
        <f t="shared" si="4"/>
        <v>0</v>
      </c>
      <c r="S18" s="204">
        <f t="shared" si="4"/>
        <v>0</v>
      </c>
      <c r="T18" s="204">
        <f t="shared" si="4"/>
        <v>0</v>
      </c>
      <c r="U18" s="204">
        <f t="shared" si="4"/>
        <v>0</v>
      </c>
      <c r="V18" s="204">
        <f t="shared" si="4"/>
        <v>0</v>
      </c>
      <c r="W18" s="204">
        <f t="shared" si="4"/>
        <v>0</v>
      </c>
      <c r="X18" s="204">
        <f t="shared" si="4"/>
        <v>1</v>
      </c>
      <c r="Y18" s="204">
        <f t="shared" si="4"/>
        <v>149.99</v>
      </c>
      <c r="Z18" s="204">
        <f t="shared" si="4"/>
        <v>0</v>
      </c>
      <c r="AA18" s="204">
        <f t="shared" si="4"/>
        <v>0</v>
      </c>
      <c r="AB18" s="204">
        <f t="shared" si="4"/>
        <v>0</v>
      </c>
      <c r="AC18" s="204">
        <f t="shared" si="4"/>
        <v>0</v>
      </c>
      <c r="AD18" s="204">
        <f t="shared" si="4"/>
        <v>0</v>
      </c>
      <c r="AE18" s="204">
        <f t="shared" si="4"/>
        <v>0</v>
      </c>
      <c r="AF18" s="204">
        <f t="shared" si="4"/>
        <v>0</v>
      </c>
      <c r="AG18" s="204">
        <f t="shared" si="4"/>
        <v>0</v>
      </c>
      <c r="AH18" s="204">
        <f t="shared" si="4"/>
        <v>0</v>
      </c>
      <c r="AI18" s="204">
        <f t="shared" si="4"/>
        <v>0</v>
      </c>
      <c r="AJ18" s="204">
        <f t="shared" si="4"/>
        <v>0</v>
      </c>
      <c r="AK18" s="204">
        <f t="shared" si="4"/>
        <v>0</v>
      </c>
      <c r="AL18" s="204">
        <f t="shared" si="4"/>
        <v>0</v>
      </c>
      <c r="AM18" s="204">
        <f t="shared" si="4"/>
        <v>0</v>
      </c>
      <c r="AN18" s="204">
        <f t="shared" si="4"/>
        <v>0</v>
      </c>
      <c r="AO18" s="204">
        <f t="shared" si="4"/>
        <v>0</v>
      </c>
      <c r="AP18" s="204">
        <f t="shared" si="4"/>
        <v>0</v>
      </c>
      <c r="AQ18" s="204">
        <f t="shared" si="4"/>
        <v>0</v>
      </c>
      <c r="AR18" s="204">
        <f t="shared" si="4"/>
        <v>0</v>
      </c>
      <c r="AS18" s="204">
        <f t="shared" si="4"/>
        <v>0</v>
      </c>
      <c r="AT18" s="204">
        <f t="shared" si="4"/>
        <v>0</v>
      </c>
      <c r="AU18" s="204">
        <f t="shared" si="4"/>
        <v>0</v>
      </c>
      <c r="AV18" s="204">
        <f t="shared" si="4"/>
        <v>0</v>
      </c>
      <c r="AW18" s="204">
        <f t="shared" si="4"/>
        <v>0</v>
      </c>
      <c r="AX18" s="204">
        <f t="shared" si="4"/>
        <v>0</v>
      </c>
      <c r="AY18" s="204">
        <f t="shared" si="4"/>
        <v>0</v>
      </c>
      <c r="AZ18" s="204">
        <f t="shared" si="4"/>
        <v>0</v>
      </c>
      <c r="BA18" s="204">
        <f t="shared" si="4"/>
        <v>0</v>
      </c>
      <c r="BB18" s="204">
        <f t="shared" si="4"/>
        <v>0</v>
      </c>
      <c r="BC18" s="204">
        <f t="shared" si="4"/>
        <v>0</v>
      </c>
      <c r="BD18" s="204">
        <f t="shared" si="4"/>
        <v>0</v>
      </c>
      <c r="BE18" s="204">
        <f t="shared" si="4"/>
        <v>0</v>
      </c>
    </row>
    <row r="19" spans="1:57" s="18" customFormat="1">
      <c r="A19" s="1174" t="s">
        <v>652</v>
      </c>
      <c r="B19" s="194">
        <v>0</v>
      </c>
      <c r="C19" s="194">
        <v>0</v>
      </c>
      <c r="D19" s="194">
        <v>0</v>
      </c>
      <c r="E19" s="194">
        <v>0</v>
      </c>
      <c r="F19" s="194">
        <f t="shared" si="2"/>
        <v>0</v>
      </c>
      <c r="G19" s="194">
        <f t="shared" si="2"/>
        <v>0</v>
      </c>
      <c r="H19" s="194">
        <f t="shared" si="2"/>
        <v>0</v>
      </c>
      <c r="I19" s="194">
        <f t="shared" si="2"/>
        <v>0</v>
      </c>
      <c r="J19" s="195">
        <v>0</v>
      </c>
      <c r="K19" s="195">
        <v>0</v>
      </c>
      <c r="L19" s="195">
        <v>0</v>
      </c>
      <c r="M19" s="195">
        <v>0</v>
      </c>
      <c r="N19" s="195">
        <v>0</v>
      </c>
      <c r="O19" s="195">
        <v>0</v>
      </c>
      <c r="P19" s="195">
        <v>0</v>
      </c>
      <c r="Q19" s="195">
        <v>0</v>
      </c>
      <c r="R19" s="195">
        <v>0</v>
      </c>
      <c r="S19" s="195">
        <v>0</v>
      </c>
      <c r="T19" s="195">
        <v>0</v>
      </c>
      <c r="U19" s="195">
        <v>0</v>
      </c>
      <c r="V19" s="195">
        <v>0</v>
      </c>
      <c r="W19" s="195">
        <v>0</v>
      </c>
      <c r="X19" s="195">
        <v>0</v>
      </c>
      <c r="Y19" s="195">
        <v>0</v>
      </c>
      <c r="Z19" s="195">
        <v>0</v>
      </c>
      <c r="AA19" s="195">
        <v>0</v>
      </c>
      <c r="AB19" s="195">
        <v>0</v>
      </c>
      <c r="AC19" s="195">
        <v>0</v>
      </c>
      <c r="AD19" s="195"/>
      <c r="AE19" s="195"/>
      <c r="AF19" s="195"/>
      <c r="AG19" s="195"/>
      <c r="AH19" s="195"/>
      <c r="AI19" s="195"/>
      <c r="AJ19" s="195"/>
      <c r="AK19" s="195"/>
      <c r="AL19" s="195"/>
      <c r="AM19" s="195"/>
      <c r="AN19" s="195"/>
      <c r="AO19" s="195"/>
      <c r="AP19" s="195"/>
      <c r="AQ19" s="195"/>
      <c r="AR19" s="195"/>
      <c r="AS19" s="195"/>
      <c r="AT19" s="195"/>
      <c r="AU19" s="195"/>
      <c r="AV19" s="195"/>
      <c r="AW19" s="195"/>
      <c r="AX19" s="195"/>
      <c r="AY19" s="195"/>
      <c r="AZ19" s="195"/>
      <c r="BA19" s="195"/>
      <c r="BB19" s="195"/>
      <c r="BC19" s="195"/>
      <c r="BD19" s="195"/>
      <c r="BE19" s="195"/>
    </row>
    <row r="20" spans="1:57" s="18" customFormat="1">
      <c r="A20" s="1174" t="s">
        <v>653</v>
      </c>
      <c r="B20" s="194">
        <v>0</v>
      </c>
      <c r="C20" s="194">
        <v>0</v>
      </c>
      <c r="D20" s="194">
        <v>1</v>
      </c>
      <c r="E20" s="194">
        <v>27</v>
      </c>
      <c r="F20" s="194">
        <f t="shared" si="2"/>
        <v>0</v>
      </c>
      <c r="G20" s="194">
        <f t="shared" si="2"/>
        <v>0</v>
      </c>
      <c r="H20" s="194">
        <f t="shared" si="2"/>
        <v>1</v>
      </c>
      <c r="I20" s="194">
        <f t="shared" si="2"/>
        <v>149.99</v>
      </c>
      <c r="J20" s="195">
        <v>0</v>
      </c>
      <c r="K20" s="195">
        <v>0</v>
      </c>
      <c r="L20" s="195">
        <v>0</v>
      </c>
      <c r="M20" s="195">
        <v>0</v>
      </c>
      <c r="N20" s="195">
        <v>0</v>
      </c>
      <c r="O20" s="195">
        <v>0</v>
      </c>
      <c r="P20" s="195">
        <v>0</v>
      </c>
      <c r="Q20" s="195">
        <v>0</v>
      </c>
      <c r="R20" s="195">
        <v>0</v>
      </c>
      <c r="S20" s="195">
        <v>0</v>
      </c>
      <c r="T20" s="195">
        <v>0</v>
      </c>
      <c r="U20" s="195">
        <v>0</v>
      </c>
      <c r="V20" s="195">
        <v>0</v>
      </c>
      <c r="W20" s="195">
        <v>0</v>
      </c>
      <c r="X20" s="549">
        <v>1</v>
      </c>
      <c r="Y20" s="549">
        <v>149.99</v>
      </c>
      <c r="Z20" s="195">
        <v>0</v>
      </c>
      <c r="AA20" s="195">
        <v>0</v>
      </c>
      <c r="AB20" s="195">
        <v>0</v>
      </c>
      <c r="AC20" s="195">
        <v>0</v>
      </c>
      <c r="AD20" s="195"/>
      <c r="AE20" s="195"/>
      <c r="AF20" s="195"/>
      <c r="AG20" s="195"/>
      <c r="AH20" s="195"/>
      <c r="AI20" s="195"/>
      <c r="AJ20" s="195"/>
      <c r="AK20" s="195"/>
      <c r="AL20" s="195"/>
      <c r="AM20" s="195"/>
      <c r="AN20" s="195"/>
      <c r="AO20" s="195"/>
      <c r="AP20" s="195"/>
      <c r="AQ20" s="195"/>
      <c r="AR20" s="195"/>
      <c r="AS20" s="195"/>
      <c r="AT20" s="195"/>
      <c r="AU20" s="195"/>
      <c r="AV20" s="195"/>
      <c r="AW20" s="195"/>
      <c r="AX20" s="195"/>
      <c r="AY20" s="195"/>
      <c r="AZ20" s="195"/>
      <c r="BA20" s="195"/>
      <c r="BB20" s="195"/>
      <c r="BC20" s="195"/>
      <c r="BD20" s="195"/>
      <c r="BE20" s="195"/>
    </row>
    <row r="21" spans="1:57" s="18" customFormat="1">
      <c r="A21" s="463" t="s">
        <v>660</v>
      </c>
      <c r="B21" s="194">
        <v>0</v>
      </c>
      <c r="C21" s="194">
        <v>0</v>
      </c>
      <c r="D21" s="194">
        <v>1</v>
      </c>
      <c r="E21" s="194">
        <v>27</v>
      </c>
      <c r="F21" s="195">
        <f>F18+F15</f>
        <v>0</v>
      </c>
      <c r="G21" s="195">
        <f t="shared" ref="G21:BA21" si="5">G18+G15</f>
        <v>0</v>
      </c>
      <c r="H21" s="195">
        <f t="shared" si="5"/>
        <v>2</v>
      </c>
      <c r="I21" s="195">
        <f t="shared" si="5"/>
        <v>18149.9899993</v>
      </c>
      <c r="J21" s="195">
        <f t="shared" si="5"/>
        <v>0</v>
      </c>
      <c r="K21" s="195">
        <f t="shared" si="5"/>
        <v>0</v>
      </c>
      <c r="L21" s="195">
        <f t="shared" si="5"/>
        <v>1</v>
      </c>
      <c r="M21" s="195">
        <f t="shared" si="5"/>
        <v>17999.999999299998</v>
      </c>
      <c r="N21" s="195">
        <f t="shared" si="5"/>
        <v>0</v>
      </c>
      <c r="O21" s="195">
        <f t="shared" si="5"/>
        <v>0</v>
      </c>
      <c r="P21" s="195">
        <f t="shared" si="5"/>
        <v>0</v>
      </c>
      <c r="Q21" s="195">
        <f t="shared" si="5"/>
        <v>0</v>
      </c>
      <c r="R21" s="195">
        <f t="shared" si="5"/>
        <v>0</v>
      </c>
      <c r="S21" s="195">
        <f t="shared" si="5"/>
        <v>0</v>
      </c>
      <c r="T21" s="195">
        <f t="shared" si="5"/>
        <v>0</v>
      </c>
      <c r="U21" s="195">
        <f t="shared" si="5"/>
        <v>0</v>
      </c>
      <c r="V21" s="195">
        <f t="shared" si="5"/>
        <v>0</v>
      </c>
      <c r="W21" s="195">
        <f t="shared" si="5"/>
        <v>0</v>
      </c>
      <c r="X21" s="195">
        <f t="shared" si="5"/>
        <v>1</v>
      </c>
      <c r="Y21" s="195">
        <f t="shared" si="5"/>
        <v>149.99</v>
      </c>
      <c r="Z21" s="195">
        <f t="shared" si="5"/>
        <v>0</v>
      </c>
      <c r="AA21" s="195">
        <f t="shared" si="5"/>
        <v>0</v>
      </c>
      <c r="AB21" s="195">
        <f t="shared" si="5"/>
        <v>0</v>
      </c>
      <c r="AC21" s="195">
        <f t="shared" si="5"/>
        <v>0</v>
      </c>
      <c r="AD21" s="195">
        <f t="shared" si="5"/>
        <v>0</v>
      </c>
      <c r="AE21" s="195">
        <f t="shared" si="5"/>
        <v>0</v>
      </c>
      <c r="AF21" s="195">
        <f t="shared" si="5"/>
        <v>0</v>
      </c>
      <c r="AG21" s="195">
        <f t="shared" si="5"/>
        <v>0</v>
      </c>
      <c r="AH21" s="195">
        <f t="shared" si="5"/>
        <v>0</v>
      </c>
      <c r="AI21" s="195">
        <f t="shared" si="5"/>
        <v>0</v>
      </c>
      <c r="AJ21" s="195">
        <f t="shared" si="5"/>
        <v>0</v>
      </c>
      <c r="AK21" s="195">
        <f t="shared" si="5"/>
        <v>0</v>
      </c>
      <c r="AL21" s="195">
        <f t="shared" si="5"/>
        <v>0</v>
      </c>
      <c r="AM21" s="195">
        <f t="shared" si="5"/>
        <v>0</v>
      </c>
      <c r="AN21" s="195">
        <f t="shared" si="5"/>
        <v>0</v>
      </c>
      <c r="AO21" s="195">
        <f t="shared" si="5"/>
        <v>0</v>
      </c>
      <c r="AP21" s="195">
        <f t="shared" si="5"/>
        <v>0</v>
      </c>
      <c r="AQ21" s="195">
        <f t="shared" si="5"/>
        <v>0</v>
      </c>
      <c r="AR21" s="195">
        <f t="shared" si="5"/>
        <v>0</v>
      </c>
      <c r="AS21" s="195">
        <f t="shared" si="5"/>
        <v>0</v>
      </c>
      <c r="AT21" s="195">
        <f t="shared" si="5"/>
        <v>0</v>
      </c>
      <c r="AU21" s="195">
        <f t="shared" si="5"/>
        <v>0</v>
      </c>
      <c r="AV21" s="195">
        <f t="shared" si="5"/>
        <v>0</v>
      </c>
      <c r="AW21" s="195">
        <f t="shared" si="5"/>
        <v>0</v>
      </c>
      <c r="AX21" s="195">
        <f t="shared" si="5"/>
        <v>0</v>
      </c>
      <c r="AY21" s="195">
        <f t="shared" si="5"/>
        <v>0</v>
      </c>
      <c r="AZ21" s="195">
        <f t="shared" si="5"/>
        <v>0</v>
      </c>
      <c r="BA21" s="195">
        <f t="shared" si="5"/>
        <v>0</v>
      </c>
      <c r="BB21" s="195">
        <f>BB18+BB15</f>
        <v>0</v>
      </c>
      <c r="BC21" s="195">
        <f>BC18+BC15</f>
        <v>0</v>
      </c>
      <c r="BD21" s="195">
        <f>BD18+BD15</f>
        <v>0</v>
      </c>
      <c r="BE21" s="195">
        <f>BE18+BE15</f>
        <v>0</v>
      </c>
    </row>
    <row r="22" spans="1:57" s="18" customFormat="1">
      <c r="A22" s="1174" t="s">
        <v>652</v>
      </c>
      <c r="B22" s="194">
        <v>0</v>
      </c>
      <c r="C22" s="194">
        <v>0</v>
      </c>
      <c r="D22" s="194">
        <v>0</v>
      </c>
      <c r="E22" s="194">
        <v>0</v>
      </c>
      <c r="F22" s="195">
        <f>F16+F19</f>
        <v>0</v>
      </c>
      <c r="G22" s="195">
        <f t="shared" ref="G22:BA22" si="6">G16+G19</f>
        <v>0</v>
      </c>
      <c r="H22" s="195">
        <f t="shared" si="6"/>
        <v>0</v>
      </c>
      <c r="I22" s="195">
        <f t="shared" si="6"/>
        <v>0</v>
      </c>
      <c r="J22" s="195">
        <f t="shared" si="6"/>
        <v>0</v>
      </c>
      <c r="K22" s="195">
        <f t="shared" si="6"/>
        <v>0</v>
      </c>
      <c r="L22" s="195">
        <f t="shared" si="6"/>
        <v>0</v>
      </c>
      <c r="M22" s="195">
        <f t="shared" si="6"/>
        <v>0</v>
      </c>
      <c r="N22" s="195">
        <f t="shared" si="6"/>
        <v>0</v>
      </c>
      <c r="O22" s="195">
        <f t="shared" si="6"/>
        <v>0</v>
      </c>
      <c r="P22" s="195">
        <f t="shared" si="6"/>
        <v>0</v>
      </c>
      <c r="Q22" s="195">
        <f t="shared" si="6"/>
        <v>0</v>
      </c>
      <c r="R22" s="195">
        <f t="shared" si="6"/>
        <v>0</v>
      </c>
      <c r="S22" s="195">
        <f t="shared" si="6"/>
        <v>0</v>
      </c>
      <c r="T22" s="195">
        <f t="shared" si="6"/>
        <v>0</v>
      </c>
      <c r="U22" s="195">
        <f t="shared" si="6"/>
        <v>0</v>
      </c>
      <c r="V22" s="195">
        <f t="shared" si="6"/>
        <v>0</v>
      </c>
      <c r="W22" s="195">
        <f t="shared" si="6"/>
        <v>0</v>
      </c>
      <c r="X22" s="195">
        <f t="shared" si="6"/>
        <v>0</v>
      </c>
      <c r="Y22" s="195">
        <f t="shared" si="6"/>
        <v>0</v>
      </c>
      <c r="Z22" s="195">
        <f t="shared" si="6"/>
        <v>0</v>
      </c>
      <c r="AA22" s="195">
        <f t="shared" si="6"/>
        <v>0</v>
      </c>
      <c r="AB22" s="195">
        <f t="shared" si="6"/>
        <v>0</v>
      </c>
      <c r="AC22" s="195">
        <f t="shared" si="6"/>
        <v>0</v>
      </c>
      <c r="AD22" s="195">
        <f t="shared" si="6"/>
        <v>0</v>
      </c>
      <c r="AE22" s="195">
        <f t="shared" si="6"/>
        <v>0</v>
      </c>
      <c r="AF22" s="195">
        <f t="shared" si="6"/>
        <v>0</v>
      </c>
      <c r="AG22" s="195">
        <f t="shared" si="6"/>
        <v>0</v>
      </c>
      <c r="AH22" s="195">
        <f t="shared" si="6"/>
        <v>0</v>
      </c>
      <c r="AI22" s="195">
        <f t="shared" si="6"/>
        <v>0</v>
      </c>
      <c r="AJ22" s="195">
        <f t="shared" si="6"/>
        <v>0</v>
      </c>
      <c r="AK22" s="195">
        <f t="shared" si="6"/>
        <v>0</v>
      </c>
      <c r="AL22" s="195">
        <f t="shared" si="6"/>
        <v>0</v>
      </c>
      <c r="AM22" s="195">
        <f t="shared" si="6"/>
        <v>0</v>
      </c>
      <c r="AN22" s="195">
        <f t="shared" si="6"/>
        <v>0</v>
      </c>
      <c r="AO22" s="195">
        <f t="shared" si="6"/>
        <v>0</v>
      </c>
      <c r="AP22" s="195">
        <f t="shared" si="6"/>
        <v>0</v>
      </c>
      <c r="AQ22" s="195">
        <f t="shared" si="6"/>
        <v>0</v>
      </c>
      <c r="AR22" s="195">
        <f t="shared" si="6"/>
        <v>0</v>
      </c>
      <c r="AS22" s="195">
        <f t="shared" si="6"/>
        <v>0</v>
      </c>
      <c r="AT22" s="195">
        <f t="shared" si="6"/>
        <v>0</v>
      </c>
      <c r="AU22" s="195">
        <f t="shared" si="6"/>
        <v>0</v>
      </c>
      <c r="AV22" s="195">
        <f t="shared" si="6"/>
        <v>0</v>
      </c>
      <c r="AW22" s="195">
        <f t="shared" si="6"/>
        <v>0</v>
      </c>
      <c r="AX22" s="195">
        <f t="shared" si="6"/>
        <v>0</v>
      </c>
      <c r="AY22" s="195">
        <f t="shared" si="6"/>
        <v>0</v>
      </c>
      <c r="AZ22" s="195">
        <f t="shared" si="6"/>
        <v>0</v>
      </c>
      <c r="BA22" s="195">
        <f t="shared" si="6"/>
        <v>0</v>
      </c>
      <c r="BB22" s="195">
        <f>BB16+BB19</f>
        <v>0</v>
      </c>
      <c r="BC22" s="195">
        <f>BC16+BC19</f>
        <v>0</v>
      </c>
      <c r="BD22" s="195">
        <f>BD16+BD19</f>
        <v>0</v>
      </c>
      <c r="BE22" s="195">
        <f>BE16+BE19</f>
        <v>0</v>
      </c>
    </row>
    <row r="23" spans="1:57" s="18" customFormat="1">
      <c r="A23" s="1174" t="s">
        <v>653</v>
      </c>
      <c r="B23" s="194">
        <v>0</v>
      </c>
      <c r="C23" s="194">
        <v>0</v>
      </c>
      <c r="D23" s="194">
        <v>1</v>
      </c>
      <c r="E23" s="194">
        <v>27</v>
      </c>
      <c r="F23" s="195">
        <f>F20+F17</f>
        <v>0</v>
      </c>
      <c r="G23" s="195">
        <f t="shared" ref="G23:BA23" si="7">G20+G17</f>
        <v>0</v>
      </c>
      <c r="H23" s="195">
        <f t="shared" si="7"/>
        <v>2</v>
      </c>
      <c r="I23" s="195">
        <f t="shared" si="7"/>
        <v>18149.9899993</v>
      </c>
      <c r="J23" s="195">
        <f t="shared" si="7"/>
        <v>0</v>
      </c>
      <c r="K23" s="195">
        <f t="shared" si="7"/>
        <v>0</v>
      </c>
      <c r="L23" s="195">
        <f t="shared" si="7"/>
        <v>1</v>
      </c>
      <c r="M23" s="195">
        <f t="shared" si="7"/>
        <v>17999.999999299998</v>
      </c>
      <c r="N23" s="195">
        <f t="shared" si="7"/>
        <v>0</v>
      </c>
      <c r="O23" s="195">
        <f t="shared" si="7"/>
        <v>0</v>
      </c>
      <c r="P23" s="195">
        <f t="shared" si="7"/>
        <v>0</v>
      </c>
      <c r="Q23" s="195">
        <f t="shared" si="7"/>
        <v>0</v>
      </c>
      <c r="R23" s="195">
        <f t="shared" si="7"/>
        <v>0</v>
      </c>
      <c r="S23" s="195">
        <f t="shared" si="7"/>
        <v>0</v>
      </c>
      <c r="T23" s="195">
        <f t="shared" si="7"/>
        <v>0</v>
      </c>
      <c r="U23" s="195">
        <f t="shared" si="7"/>
        <v>0</v>
      </c>
      <c r="V23" s="195">
        <f t="shared" si="7"/>
        <v>0</v>
      </c>
      <c r="W23" s="195">
        <f t="shared" si="7"/>
        <v>0</v>
      </c>
      <c r="X23" s="195">
        <f t="shared" si="7"/>
        <v>1</v>
      </c>
      <c r="Y23" s="195">
        <f t="shared" si="7"/>
        <v>149.99</v>
      </c>
      <c r="Z23" s="195">
        <f t="shared" si="7"/>
        <v>0</v>
      </c>
      <c r="AA23" s="195">
        <f t="shared" si="7"/>
        <v>0</v>
      </c>
      <c r="AB23" s="195">
        <f t="shared" si="7"/>
        <v>0</v>
      </c>
      <c r="AC23" s="195">
        <f t="shared" si="7"/>
        <v>0</v>
      </c>
      <c r="AD23" s="195">
        <f t="shared" si="7"/>
        <v>0</v>
      </c>
      <c r="AE23" s="195">
        <f t="shared" si="7"/>
        <v>0</v>
      </c>
      <c r="AF23" s="195">
        <f t="shared" si="7"/>
        <v>0</v>
      </c>
      <c r="AG23" s="195">
        <f t="shared" si="7"/>
        <v>0</v>
      </c>
      <c r="AH23" s="195">
        <f t="shared" si="7"/>
        <v>0</v>
      </c>
      <c r="AI23" s="195">
        <f t="shared" si="7"/>
        <v>0</v>
      </c>
      <c r="AJ23" s="195">
        <f t="shared" si="7"/>
        <v>0</v>
      </c>
      <c r="AK23" s="195">
        <f t="shared" si="7"/>
        <v>0</v>
      </c>
      <c r="AL23" s="195">
        <f t="shared" si="7"/>
        <v>0</v>
      </c>
      <c r="AM23" s="195">
        <f t="shared" si="7"/>
        <v>0</v>
      </c>
      <c r="AN23" s="195">
        <f t="shared" si="7"/>
        <v>0</v>
      </c>
      <c r="AO23" s="195">
        <f t="shared" si="7"/>
        <v>0</v>
      </c>
      <c r="AP23" s="195">
        <f t="shared" si="7"/>
        <v>0</v>
      </c>
      <c r="AQ23" s="195">
        <f t="shared" si="7"/>
        <v>0</v>
      </c>
      <c r="AR23" s="195">
        <f t="shared" si="7"/>
        <v>0</v>
      </c>
      <c r="AS23" s="195">
        <f t="shared" si="7"/>
        <v>0</v>
      </c>
      <c r="AT23" s="195">
        <f t="shared" si="7"/>
        <v>0</v>
      </c>
      <c r="AU23" s="195">
        <f t="shared" si="7"/>
        <v>0</v>
      </c>
      <c r="AV23" s="195">
        <f t="shared" si="7"/>
        <v>0</v>
      </c>
      <c r="AW23" s="195">
        <f t="shared" si="7"/>
        <v>0</v>
      </c>
      <c r="AX23" s="195">
        <f t="shared" si="7"/>
        <v>0</v>
      </c>
      <c r="AY23" s="195">
        <f t="shared" si="7"/>
        <v>0</v>
      </c>
      <c r="AZ23" s="195">
        <f t="shared" si="7"/>
        <v>0</v>
      </c>
      <c r="BA23" s="195">
        <f t="shared" si="7"/>
        <v>0</v>
      </c>
      <c r="BB23" s="195">
        <f>BB20+BB17</f>
        <v>0</v>
      </c>
      <c r="BC23" s="195">
        <f>BC20+BC17</f>
        <v>0</v>
      </c>
      <c r="BD23" s="195">
        <f>BD20+BD17</f>
        <v>0</v>
      </c>
      <c r="BE23" s="195">
        <f>BE20+BE17</f>
        <v>0</v>
      </c>
    </row>
    <row r="24" spans="1:57" s="18" customFormat="1">
      <c r="A24" s="464" t="s">
        <v>661</v>
      </c>
      <c r="B24" s="273">
        <f>B12+B21</f>
        <v>12</v>
      </c>
      <c r="C24" s="277">
        <f>C12+C21</f>
        <v>7627.8795469999995</v>
      </c>
      <c r="D24" s="273">
        <f>D12+D21</f>
        <v>261</v>
      </c>
      <c r="E24" s="278">
        <f>E12+E21</f>
        <v>60354.432691499991</v>
      </c>
      <c r="F24" s="273">
        <f>F12+F21</f>
        <v>6</v>
      </c>
      <c r="G24" s="277">
        <f t="shared" ref="G24:Q26" si="8">G12+G21</f>
        <v>5873.0901791999995</v>
      </c>
      <c r="H24" s="273">
        <f t="shared" si="8"/>
        <v>132</v>
      </c>
      <c r="I24" s="278">
        <f t="shared" si="8"/>
        <v>52181.972493399997</v>
      </c>
      <c r="J24" s="273">
        <f t="shared" si="8"/>
        <v>0</v>
      </c>
      <c r="K24" s="277">
        <f t="shared" si="8"/>
        <v>0</v>
      </c>
      <c r="L24" s="273">
        <f t="shared" si="8"/>
        <v>27</v>
      </c>
      <c r="M24" s="278">
        <f t="shared" si="8"/>
        <v>23727.3785193</v>
      </c>
      <c r="N24" s="273">
        <f t="shared" si="8"/>
        <v>2</v>
      </c>
      <c r="O24" s="277">
        <f t="shared" si="8"/>
        <v>5614.6458591999999</v>
      </c>
      <c r="P24" s="273">
        <f t="shared" si="8"/>
        <v>24</v>
      </c>
      <c r="Q24" s="278">
        <f t="shared" si="8"/>
        <v>4518.7031038000005</v>
      </c>
      <c r="R24" s="273">
        <f>R12+R21</f>
        <v>2</v>
      </c>
      <c r="S24" s="277">
        <f t="shared" ref="S24:U26" si="9">S12+S21</f>
        <v>164.52</v>
      </c>
      <c r="T24" s="273">
        <f t="shared" si="9"/>
        <v>20</v>
      </c>
      <c r="U24" s="278">
        <f t="shared" si="9"/>
        <v>2356.0980000000004</v>
      </c>
      <c r="V24" s="273">
        <f>V12+V21</f>
        <v>2</v>
      </c>
      <c r="W24" s="277">
        <f t="shared" ref="W24:Y26" si="10">W12+W21</f>
        <v>93.924319999999994</v>
      </c>
      <c r="X24" s="273">
        <f t="shared" si="10"/>
        <v>29</v>
      </c>
      <c r="Y24" s="278">
        <f t="shared" si="10"/>
        <v>6116.2523755000002</v>
      </c>
      <c r="Z24" s="273">
        <f>Z12+Z21</f>
        <v>0</v>
      </c>
      <c r="AA24" s="277">
        <f t="shared" ref="AA24:AC26" si="11">AA12+AA21</f>
        <v>0</v>
      </c>
      <c r="AB24" s="273">
        <f t="shared" si="11"/>
        <v>32</v>
      </c>
      <c r="AC24" s="278">
        <f t="shared" si="11"/>
        <v>15463.5404948</v>
      </c>
      <c r="AD24" s="273">
        <f>AD12+AD21</f>
        <v>0</v>
      </c>
      <c r="AE24" s="277">
        <f t="shared" ref="AE24:AG26" si="12">AE12+AE21</f>
        <v>0</v>
      </c>
      <c r="AF24" s="273">
        <f t="shared" si="12"/>
        <v>0</v>
      </c>
      <c r="AG24" s="278">
        <f t="shared" si="12"/>
        <v>0</v>
      </c>
      <c r="AH24" s="273">
        <f>AH12+AH21</f>
        <v>0</v>
      </c>
      <c r="AI24" s="277">
        <f t="shared" ref="AI24:AK26" si="13">AI12+AI21</f>
        <v>0</v>
      </c>
      <c r="AJ24" s="273">
        <f t="shared" si="13"/>
        <v>0</v>
      </c>
      <c r="AK24" s="278">
        <f t="shared" si="13"/>
        <v>0</v>
      </c>
      <c r="AL24" s="273">
        <f>AL12+AL21</f>
        <v>0</v>
      </c>
      <c r="AM24" s="277">
        <f t="shared" ref="AM24:AO26" si="14">AM12+AM21</f>
        <v>0</v>
      </c>
      <c r="AN24" s="273">
        <f t="shared" si="14"/>
        <v>0</v>
      </c>
      <c r="AO24" s="278">
        <f t="shared" si="14"/>
        <v>0</v>
      </c>
      <c r="AP24" s="273">
        <f>AP12+AP21</f>
        <v>0</v>
      </c>
      <c r="AQ24" s="277">
        <f t="shared" ref="AQ24:AS26" si="15">AQ12+AQ21</f>
        <v>0</v>
      </c>
      <c r="AR24" s="273">
        <f t="shared" si="15"/>
        <v>0</v>
      </c>
      <c r="AS24" s="278">
        <f t="shared" si="15"/>
        <v>0</v>
      </c>
      <c r="AT24" s="273">
        <f>AT12+AT21</f>
        <v>0</v>
      </c>
      <c r="AU24" s="277">
        <f t="shared" ref="AU24:AW26" si="16">AU12+AU21</f>
        <v>0</v>
      </c>
      <c r="AV24" s="273">
        <f t="shared" si="16"/>
        <v>0</v>
      </c>
      <c r="AW24" s="278">
        <f t="shared" si="16"/>
        <v>0</v>
      </c>
      <c r="AX24" s="273">
        <f>AX12+AX21</f>
        <v>0</v>
      </c>
      <c r="AY24" s="277">
        <f t="shared" ref="AY24:BE26" si="17">AY12+AY21</f>
        <v>0</v>
      </c>
      <c r="AZ24" s="273">
        <f t="shared" si="17"/>
        <v>0</v>
      </c>
      <c r="BA24" s="278">
        <f t="shared" si="17"/>
        <v>0</v>
      </c>
      <c r="BB24" s="278">
        <f t="shared" si="17"/>
        <v>0</v>
      </c>
      <c r="BC24" s="278">
        <f t="shared" si="17"/>
        <v>0</v>
      </c>
      <c r="BD24" s="278">
        <f t="shared" si="17"/>
        <v>0</v>
      </c>
      <c r="BE24" s="278">
        <f t="shared" si="17"/>
        <v>0</v>
      </c>
    </row>
    <row r="25" spans="1:57" s="18" customFormat="1">
      <c r="A25" s="1174" t="s">
        <v>656</v>
      </c>
      <c r="B25" s="273" t="s">
        <v>235</v>
      </c>
      <c r="C25" s="275">
        <f>C13+C22</f>
        <v>2948.2887618999998</v>
      </c>
      <c r="D25" s="273" t="s">
        <v>235</v>
      </c>
      <c r="E25" s="279">
        <f>E13+E22</f>
        <v>30482.316544699999</v>
      </c>
      <c r="F25" s="273" t="s">
        <v>235</v>
      </c>
      <c r="G25" s="275">
        <f>G13+G22</f>
        <v>3498.9338468999999</v>
      </c>
      <c r="H25" s="273" t="s">
        <v>235</v>
      </c>
      <c r="I25" s="279">
        <f t="shared" si="8"/>
        <v>16237.864347199999</v>
      </c>
      <c r="J25" s="273" t="s">
        <v>235</v>
      </c>
      <c r="K25" s="275">
        <f>K13+K22</f>
        <v>0</v>
      </c>
      <c r="L25" s="273" t="s">
        <v>235</v>
      </c>
      <c r="M25" s="279">
        <f>M13+M22</f>
        <v>4624.4736579999999</v>
      </c>
      <c r="N25" s="273" t="s">
        <v>235</v>
      </c>
      <c r="O25" s="275">
        <f t="shared" si="8"/>
        <v>3489.6458468999999</v>
      </c>
      <c r="P25" s="273" t="s">
        <v>235</v>
      </c>
      <c r="Q25" s="279">
        <f t="shared" si="8"/>
        <v>2710.0928821000002</v>
      </c>
      <c r="R25" s="273" t="s">
        <v>235</v>
      </c>
      <c r="S25" s="275">
        <f t="shared" si="9"/>
        <v>9.2880000000000003</v>
      </c>
      <c r="T25" s="273" t="s">
        <v>235</v>
      </c>
      <c r="U25" s="279">
        <f t="shared" si="9"/>
        <v>1228.8294208000002</v>
      </c>
      <c r="V25" s="273" t="s">
        <v>235</v>
      </c>
      <c r="W25" s="275">
        <f t="shared" si="10"/>
        <v>0</v>
      </c>
      <c r="X25" s="273" t="s">
        <v>235</v>
      </c>
      <c r="Y25" s="279">
        <f t="shared" si="10"/>
        <v>1921.9596944999998</v>
      </c>
      <c r="Z25" s="273" t="s">
        <v>235</v>
      </c>
      <c r="AA25" s="275">
        <f t="shared" si="11"/>
        <v>0</v>
      </c>
      <c r="AB25" s="273" t="s">
        <v>235</v>
      </c>
      <c r="AC25" s="279">
        <f t="shared" si="11"/>
        <v>5752.5086918000006</v>
      </c>
      <c r="AD25" s="273" t="s">
        <v>235</v>
      </c>
      <c r="AE25" s="275">
        <f t="shared" si="12"/>
        <v>0</v>
      </c>
      <c r="AF25" s="273" t="s">
        <v>235</v>
      </c>
      <c r="AG25" s="279">
        <f t="shared" si="12"/>
        <v>0</v>
      </c>
      <c r="AH25" s="273" t="s">
        <v>235</v>
      </c>
      <c r="AI25" s="275">
        <f t="shared" si="13"/>
        <v>0</v>
      </c>
      <c r="AJ25" s="273" t="s">
        <v>235</v>
      </c>
      <c r="AK25" s="279">
        <f t="shared" si="13"/>
        <v>0</v>
      </c>
      <c r="AL25" s="273" t="s">
        <v>235</v>
      </c>
      <c r="AM25" s="275">
        <f t="shared" si="14"/>
        <v>0</v>
      </c>
      <c r="AN25" s="273" t="s">
        <v>235</v>
      </c>
      <c r="AO25" s="279">
        <f t="shared" si="14"/>
        <v>0</v>
      </c>
      <c r="AP25" s="273" t="s">
        <v>235</v>
      </c>
      <c r="AQ25" s="275">
        <f t="shared" si="15"/>
        <v>0</v>
      </c>
      <c r="AR25" s="273" t="s">
        <v>235</v>
      </c>
      <c r="AS25" s="279">
        <f t="shared" si="15"/>
        <v>0</v>
      </c>
      <c r="AT25" s="273" t="s">
        <v>235</v>
      </c>
      <c r="AU25" s="275">
        <f t="shared" si="16"/>
        <v>0</v>
      </c>
      <c r="AV25" s="273" t="s">
        <v>235</v>
      </c>
      <c r="AW25" s="279">
        <f t="shared" si="16"/>
        <v>0</v>
      </c>
      <c r="AX25" s="273" t="s">
        <v>235</v>
      </c>
      <c r="AY25" s="275">
        <f t="shared" si="17"/>
        <v>0</v>
      </c>
      <c r="AZ25" s="273" t="s">
        <v>235</v>
      </c>
      <c r="BA25" s="279">
        <f t="shared" si="17"/>
        <v>0</v>
      </c>
      <c r="BB25" s="273" t="s">
        <v>235</v>
      </c>
      <c r="BC25" s="279">
        <f>BC13+BC22</f>
        <v>0</v>
      </c>
      <c r="BD25" s="273" t="s">
        <v>235</v>
      </c>
      <c r="BE25" s="279">
        <f>BE13+BE22</f>
        <v>0</v>
      </c>
    </row>
    <row r="26" spans="1:57" s="18" customFormat="1">
      <c r="A26" s="1174" t="s">
        <v>657</v>
      </c>
      <c r="B26" s="273" t="s">
        <v>235</v>
      </c>
      <c r="C26" s="275">
        <f>C14+C23</f>
        <v>4680.4220237999998</v>
      </c>
      <c r="D26" s="273" t="s">
        <v>235</v>
      </c>
      <c r="E26" s="279">
        <f>E14+E23</f>
        <v>29879.4787717</v>
      </c>
      <c r="F26" s="273" t="s">
        <v>235</v>
      </c>
      <c r="G26" s="275">
        <f>G14+G23</f>
        <v>2374.7076692999999</v>
      </c>
      <c r="H26" s="273" t="s">
        <v>235</v>
      </c>
      <c r="I26" s="279">
        <f t="shared" si="8"/>
        <v>35949.446067700002</v>
      </c>
      <c r="J26" s="273" t="s">
        <v>235</v>
      </c>
      <c r="K26" s="275">
        <f>K14+K23</f>
        <v>0</v>
      </c>
      <c r="L26" s="273" t="s">
        <v>235</v>
      </c>
      <c r="M26" s="279">
        <f>M14+M23</f>
        <v>19102.926651799997</v>
      </c>
      <c r="N26" s="273" t="s">
        <v>235</v>
      </c>
      <c r="O26" s="275">
        <f t="shared" si="8"/>
        <v>2125.5513492999999</v>
      </c>
      <c r="P26" s="273" t="s">
        <v>235</v>
      </c>
      <c r="Q26" s="279">
        <f t="shared" si="8"/>
        <v>1809.5860693</v>
      </c>
      <c r="R26" s="273" t="s">
        <v>235</v>
      </c>
      <c r="S26" s="275">
        <f t="shared" si="9"/>
        <v>155.232</v>
      </c>
      <c r="T26" s="273" t="s">
        <v>235</v>
      </c>
      <c r="U26" s="279">
        <f t="shared" si="9"/>
        <v>1127.4074264999999</v>
      </c>
      <c r="V26" s="273" t="s">
        <v>235</v>
      </c>
      <c r="W26" s="275">
        <f t="shared" si="10"/>
        <v>93.924319999999994</v>
      </c>
      <c r="X26" s="273" t="s">
        <v>235</v>
      </c>
      <c r="Y26" s="279">
        <f t="shared" si="10"/>
        <v>4195.5839568999991</v>
      </c>
      <c r="Z26" s="273" t="s">
        <v>235</v>
      </c>
      <c r="AA26" s="275">
        <f t="shared" si="11"/>
        <v>0</v>
      </c>
      <c r="AB26" s="273" t="s">
        <v>235</v>
      </c>
      <c r="AC26" s="279">
        <f t="shared" si="11"/>
        <v>9713.941963199999</v>
      </c>
      <c r="AD26" s="273" t="s">
        <v>235</v>
      </c>
      <c r="AE26" s="275">
        <f t="shared" si="12"/>
        <v>0</v>
      </c>
      <c r="AF26" s="273" t="s">
        <v>235</v>
      </c>
      <c r="AG26" s="279">
        <f t="shared" si="12"/>
        <v>0</v>
      </c>
      <c r="AH26" s="273" t="s">
        <v>235</v>
      </c>
      <c r="AI26" s="275">
        <f t="shared" si="13"/>
        <v>0</v>
      </c>
      <c r="AJ26" s="273" t="s">
        <v>235</v>
      </c>
      <c r="AK26" s="279">
        <f t="shared" si="13"/>
        <v>0</v>
      </c>
      <c r="AL26" s="273" t="s">
        <v>235</v>
      </c>
      <c r="AM26" s="275">
        <f t="shared" si="14"/>
        <v>0</v>
      </c>
      <c r="AN26" s="273" t="s">
        <v>235</v>
      </c>
      <c r="AO26" s="279">
        <f t="shared" si="14"/>
        <v>0</v>
      </c>
      <c r="AP26" s="273" t="s">
        <v>235</v>
      </c>
      <c r="AQ26" s="275">
        <f t="shared" si="15"/>
        <v>0</v>
      </c>
      <c r="AR26" s="273" t="s">
        <v>235</v>
      </c>
      <c r="AS26" s="279">
        <f t="shared" si="15"/>
        <v>0</v>
      </c>
      <c r="AT26" s="273" t="s">
        <v>235</v>
      </c>
      <c r="AU26" s="275">
        <f t="shared" si="16"/>
        <v>0</v>
      </c>
      <c r="AV26" s="273" t="s">
        <v>235</v>
      </c>
      <c r="AW26" s="279">
        <f t="shared" si="16"/>
        <v>0</v>
      </c>
      <c r="AX26" s="273" t="s">
        <v>235</v>
      </c>
      <c r="AY26" s="275">
        <f t="shared" si="17"/>
        <v>0</v>
      </c>
      <c r="AZ26" s="273" t="s">
        <v>235</v>
      </c>
      <c r="BA26" s="279">
        <f t="shared" si="17"/>
        <v>0</v>
      </c>
      <c r="BB26" s="273" t="s">
        <v>235</v>
      </c>
      <c r="BC26" s="279">
        <f>BC14+BC23</f>
        <v>0</v>
      </c>
      <c r="BD26" s="273" t="s">
        <v>235</v>
      </c>
      <c r="BE26" s="279">
        <f>BE14+BE23</f>
        <v>0</v>
      </c>
    </row>
    <row r="27" spans="1:57" s="18" customFormat="1">
      <c r="A27" s="465" t="s">
        <v>662</v>
      </c>
      <c r="B27" s="194">
        <v>9</v>
      </c>
      <c r="C27" s="194">
        <v>7241.9912989999993</v>
      </c>
      <c r="D27" s="194">
        <v>58</v>
      </c>
      <c r="E27" s="194">
        <v>7868.2127025000009</v>
      </c>
      <c r="F27" s="194">
        <f>J27+N27+R27+V27+Z27+AD27+AH27+AL27+AP27+AT27+AX27+BB27</f>
        <v>8</v>
      </c>
      <c r="G27" s="194">
        <f>K27+O27+S27+W27+AA27+AE27+AI27+AM27+AQ27+AU27+AY27+BC27</f>
        <v>2652.4180999999999</v>
      </c>
      <c r="H27" s="194">
        <f>L27+P27+T27+X27+AB27+AF27+AJ27+AN27+AR27+AV27+AZ27+BD27</f>
        <v>49</v>
      </c>
      <c r="I27" s="194">
        <f>M27+Q27+U27+Y27+AC27+AG27+AK27+AO27+AS27+AW27+BA27+BE27</f>
        <v>8333.6312191060006</v>
      </c>
      <c r="J27" s="466">
        <f t="shared" ref="J27:AX27" si="18">SUM(J28:J29)</f>
        <v>2</v>
      </c>
      <c r="K27" s="466">
        <f t="shared" si="18"/>
        <v>1184.1300000000001</v>
      </c>
      <c r="L27" s="466">
        <f t="shared" si="18"/>
        <v>6</v>
      </c>
      <c r="M27" s="466">
        <f t="shared" si="18"/>
        <v>459.05831260000002</v>
      </c>
      <c r="N27" s="466">
        <f t="shared" si="18"/>
        <v>1</v>
      </c>
      <c r="O27" s="466">
        <f t="shared" si="18"/>
        <v>1271.8280999999999</v>
      </c>
      <c r="P27" s="466">
        <f t="shared" si="18"/>
        <v>11</v>
      </c>
      <c r="Q27" s="466">
        <f t="shared" si="18"/>
        <v>883.40640980000012</v>
      </c>
      <c r="R27" s="466">
        <f t="shared" si="18"/>
        <v>2</v>
      </c>
      <c r="S27" s="466">
        <f t="shared" si="18"/>
        <v>90.53</v>
      </c>
      <c r="T27" s="466">
        <f t="shared" si="18"/>
        <v>14</v>
      </c>
      <c r="U27" s="466">
        <f t="shared" si="18"/>
        <v>960.05</v>
      </c>
      <c r="V27" s="466">
        <f t="shared" si="18"/>
        <v>2</v>
      </c>
      <c r="W27" s="466">
        <f t="shared" si="18"/>
        <v>57</v>
      </c>
      <c r="X27" s="466">
        <f t="shared" si="18"/>
        <v>9</v>
      </c>
      <c r="Y27" s="466">
        <f t="shared" si="18"/>
        <v>2733.9241576000004</v>
      </c>
      <c r="Z27" s="466">
        <f t="shared" si="18"/>
        <v>1</v>
      </c>
      <c r="AA27" s="466">
        <f t="shared" si="18"/>
        <v>48.93</v>
      </c>
      <c r="AB27" s="466">
        <f t="shared" si="18"/>
        <v>9</v>
      </c>
      <c r="AC27" s="466">
        <f t="shared" si="18"/>
        <v>3297.192339106</v>
      </c>
      <c r="AD27" s="466">
        <f t="shared" si="18"/>
        <v>0</v>
      </c>
      <c r="AE27" s="466">
        <f t="shared" si="18"/>
        <v>0</v>
      </c>
      <c r="AF27" s="466">
        <f t="shared" si="18"/>
        <v>0</v>
      </c>
      <c r="AG27" s="466">
        <f t="shared" si="18"/>
        <v>0</v>
      </c>
      <c r="AH27" s="466">
        <f t="shared" si="18"/>
        <v>0</v>
      </c>
      <c r="AI27" s="466">
        <f t="shared" si="18"/>
        <v>0</v>
      </c>
      <c r="AJ27" s="466">
        <f t="shared" si="18"/>
        <v>0</v>
      </c>
      <c r="AK27" s="466">
        <f t="shared" si="18"/>
        <v>0</v>
      </c>
      <c r="AL27" s="466">
        <f t="shared" si="18"/>
        <v>0</v>
      </c>
      <c r="AM27" s="466">
        <f t="shared" si="18"/>
        <v>0</v>
      </c>
      <c r="AN27" s="466">
        <f t="shared" si="18"/>
        <v>0</v>
      </c>
      <c r="AO27" s="466">
        <f t="shared" si="18"/>
        <v>0</v>
      </c>
      <c r="AP27" s="466">
        <f t="shared" si="18"/>
        <v>0</v>
      </c>
      <c r="AQ27" s="466">
        <f t="shared" si="18"/>
        <v>0</v>
      </c>
      <c r="AR27" s="466">
        <f t="shared" si="18"/>
        <v>0</v>
      </c>
      <c r="AS27" s="466">
        <f t="shared" si="18"/>
        <v>0</v>
      </c>
      <c r="AT27" s="466">
        <f t="shared" si="18"/>
        <v>0</v>
      </c>
      <c r="AU27" s="466">
        <f t="shared" si="18"/>
        <v>0</v>
      </c>
      <c r="AV27" s="466">
        <f t="shared" si="18"/>
        <v>0</v>
      </c>
      <c r="AW27" s="466">
        <f t="shared" si="18"/>
        <v>0</v>
      </c>
      <c r="AX27" s="466">
        <f t="shared" si="18"/>
        <v>0</v>
      </c>
      <c r="AY27" s="466">
        <f t="shared" ref="AY27:BE27" si="19">SUM(AY28:AY29)</f>
        <v>0</v>
      </c>
      <c r="AZ27" s="466">
        <f t="shared" si="19"/>
        <v>0</v>
      </c>
      <c r="BA27" s="466">
        <f t="shared" si="19"/>
        <v>0</v>
      </c>
      <c r="BB27" s="466">
        <f t="shared" si="19"/>
        <v>0</v>
      </c>
      <c r="BC27" s="466">
        <f t="shared" si="19"/>
        <v>0</v>
      </c>
      <c r="BD27" s="466">
        <f t="shared" si="19"/>
        <v>0</v>
      </c>
      <c r="BE27" s="466">
        <f t="shared" si="19"/>
        <v>0</v>
      </c>
    </row>
    <row r="28" spans="1:57" s="18" customFormat="1">
      <c r="A28" s="1174" t="s">
        <v>663</v>
      </c>
      <c r="B28" s="194">
        <v>8</v>
      </c>
      <c r="C28" s="194">
        <v>7215.1312989999997</v>
      </c>
      <c r="D28" s="194">
        <v>50</v>
      </c>
      <c r="E28" s="194">
        <v>7661.5575825000005</v>
      </c>
      <c r="F28" s="194">
        <f t="shared" ref="F28:I38" si="20">J28+N28+R28+V28+Z28+AD28+AH28+AL28+AP28+AT28+AX28+BB28</f>
        <v>8</v>
      </c>
      <c r="G28" s="194">
        <f t="shared" si="20"/>
        <v>2652.4180999999999</v>
      </c>
      <c r="H28" s="194">
        <f t="shared" si="20"/>
        <v>42</v>
      </c>
      <c r="I28" s="194">
        <f t="shared" si="20"/>
        <v>7560.1432191060003</v>
      </c>
      <c r="J28" s="467">
        <v>2</v>
      </c>
      <c r="K28" s="467">
        <v>1184.1300000000001</v>
      </c>
      <c r="L28" s="466">
        <v>4</v>
      </c>
      <c r="M28" s="468">
        <v>425.2083126</v>
      </c>
      <c r="N28" s="467">
        <v>1</v>
      </c>
      <c r="O28" s="467">
        <v>1271.8280999999999</v>
      </c>
      <c r="P28" s="466">
        <v>9</v>
      </c>
      <c r="Q28" s="468">
        <v>454.31840980000004</v>
      </c>
      <c r="R28" s="467">
        <v>2</v>
      </c>
      <c r="S28" s="467">
        <v>90.53</v>
      </c>
      <c r="T28" s="466">
        <v>12</v>
      </c>
      <c r="U28" s="468">
        <v>949.5</v>
      </c>
      <c r="V28" s="467">
        <v>2</v>
      </c>
      <c r="W28" s="467">
        <v>57</v>
      </c>
      <c r="X28" s="466">
        <v>8</v>
      </c>
      <c r="Y28" s="468">
        <v>2433.9241576000004</v>
      </c>
      <c r="Z28" s="467">
        <v>1</v>
      </c>
      <c r="AA28" s="467">
        <v>48.93</v>
      </c>
      <c r="AB28" s="466">
        <v>9</v>
      </c>
      <c r="AC28" s="468">
        <v>3297.192339106</v>
      </c>
      <c r="AD28" s="467"/>
      <c r="AE28" s="467"/>
      <c r="AF28" s="466"/>
      <c r="AG28" s="468"/>
      <c r="AH28" s="467"/>
      <c r="AI28" s="467"/>
      <c r="AJ28" s="466"/>
      <c r="AK28" s="468"/>
      <c r="AL28" s="467"/>
      <c r="AM28" s="467"/>
      <c r="AN28" s="466"/>
      <c r="AO28" s="468"/>
      <c r="AP28" s="467"/>
      <c r="AQ28" s="467"/>
      <c r="AR28" s="466"/>
      <c r="AS28" s="468"/>
      <c r="AT28" s="467"/>
      <c r="AU28" s="467"/>
      <c r="AV28" s="466"/>
      <c r="AW28" s="468"/>
      <c r="AX28" s="467"/>
      <c r="AY28" s="467"/>
      <c r="AZ28" s="466"/>
      <c r="BA28" s="468"/>
      <c r="BB28" s="467"/>
      <c r="BC28" s="467"/>
      <c r="BD28" s="466"/>
      <c r="BE28" s="468"/>
    </row>
    <row r="29" spans="1:57" s="18" customFormat="1">
      <c r="A29" s="1174" t="s">
        <v>664</v>
      </c>
      <c r="B29" s="194">
        <v>1</v>
      </c>
      <c r="C29" s="194">
        <v>26.86</v>
      </c>
      <c r="D29" s="194">
        <v>8</v>
      </c>
      <c r="E29" s="194">
        <v>206.65512000000001</v>
      </c>
      <c r="F29" s="194">
        <f t="shared" si="20"/>
        <v>0</v>
      </c>
      <c r="G29" s="194">
        <f t="shared" si="20"/>
        <v>0</v>
      </c>
      <c r="H29" s="194">
        <f t="shared" si="20"/>
        <v>7</v>
      </c>
      <c r="I29" s="194">
        <f t="shared" si="20"/>
        <v>773.48800000000006</v>
      </c>
      <c r="J29" s="467">
        <v>0</v>
      </c>
      <c r="K29" s="467">
        <v>0</v>
      </c>
      <c r="L29" s="466">
        <v>2</v>
      </c>
      <c r="M29" s="468">
        <v>33.85</v>
      </c>
      <c r="N29" s="467">
        <v>0</v>
      </c>
      <c r="O29" s="467">
        <v>0</v>
      </c>
      <c r="P29" s="466">
        <v>2</v>
      </c>
      <c r="Q29" s="468">
        <v>429.08800000000002</v>
      </c>
      <c r="R29" s="467">
        <v>0</v>
      </c>
      <c r="S29" s="467">
        <v>0</v>
      </c>
      <c r="T29" s="466">
        <v>2</v>
      </c>
      <c r="U29" s="468">
        <v>10.55</v>
      </c>
      <c r="V29" s="467">
        <v>0</v>
      </c>
      <c r="W29" s="467">
        <v>0</v>
      </c>
      <c r="X29" s="466">
        <v>1</v>
      </c>
      <c r="Y29" s="468">
        <v>300</v>
      </c>
      <c r="Z29" s="467">
        <v>0</v>
      </c>
      <c r="AA29" s="467">
        <v>0</v>
      </c>
      <c r="AB29" s="466">
        <v>0</v>
      </c>
      <c r="AC29" s="468">
        <v>0</v>
      </c>
      <c r="AD29" s="467"/>
      <c r="AE29" s="467"/>
      <c r="AF29" s="466"/>
      <c r="AG29" s="468"/>
      <c r="AH29" s="467"/>
      <c r="AI29" s="467"/>
      <c r="AJ29" s="466"/>
      <c r="AK29" s="468"/>
      <c r="AL29" s="467"/>
      <c r="AM29" s="467"/>
      <c r="AN29" s="466"/>
      <c r="AO29" s="468"/>
      <c r="AP29" s="467"/>
      <c r="AQ29" s="467"/>
      <c r="AR29" s="466"/>
      <c r="AS29" s="468"/>
      <c r="AT29" s="467"/>
      <c r="AU29" s="467"/>
      <c r="AV29" s="466"/>
      <c r="AW29" s="468"/>
      <c r="AX29" s="467"/>
      <c r="AY29" s="467"/>
      <c r="AZ29" s="466"/>
      <c r="BA29" s="468"/>
      <c r="BB29" s="467"/>
      <c r="BC29" s="467"/>
      <c r="BD29" s="466"/>
      <c r="BE29" s="468"/>
    </row>
    <row r="30" spans="1:57" s="18" customFormat="1">
      <c r="A30" s="465" t="s">
        <v>665</v>
      </c>
      <c r="B30" s="194">
        <v>69</v>
      </c>
      <c r="C30" s="194">
        <v>7021.1732980100014</v>
      </c>
      <c r="D30" s="194">
        <v>620</v>
      </c>
      <c r="E30" s="194">
        <v>38134.003589003994</v>
      </c>
      <c r="F30" s="194">
        <f t="shared" si="20"/>
        <v>51</v>
      </c>
      <c r="G30" s="194">
        <f t="shared" si="20"/>
        <v>8430.8675000000003</v>
      </c>
      <c r="H30" s="194">
        <f t="shared" si="20"/>
        <v>370</v>
      </c>
      <c r="I30" s="194">
        <f t="shared" si="20"/>
        <v>36944.09475185701</v>
      </c>
      <c r="J30" s="207">
        <f>J31+J32</f>
        <v>8</v>
      </c>
      <c r="K30" s="207">
        <f>K31+K32</f>
        <v>120.31</v>
      </c>
      <c r="L30" s="207">
        <f>L31+L32</f>
        <v>99</v>
      </c>
      <c r="M30" s="207">
        <f>M31+M32</f>
        <v>7581.8799313500012</v>
      </c>
      <c r="N30" s="207">
        <f t="shared" ref="N30:BE30" si="21">N31+N32</f>
        <v>15</v>
      </c>
      <c r="O30" s="207">
        <f t="shared" si="21"/>
        <v>2614.4275000000002</v>
      </c>
      <c r="P30" s="207">
        <f t="shared" si="21"/>
        <v>99</v>
      </c>
      <c r="Q30" s="207">
        <f t="shared" si="21"/>
        <v>22378.765600392002</v>
      </c>
      <c r="R30" s="207">
        <f t="shared" si="21"/>
        <v>13</v>
      </c>
      <c r="S30" s="207">
        <f t="shared" si="21"/>
        <v>2200.2600000000002</v>
      </c>
      <c r="T30" s="207">
        <f t="shared" si="21"/>
        <v>48</v>
      </c>
      <c r="U30" s="207">
        <f t="shared" si="21"/>
        <v>4794.9335981000022</v>
      </c>
      <c r="V30" s="207">
        <f t="shared" si="21"/>
        <v>10</v>
      </c>
      <c r="W30" s="207">
        <f t="shared" si="21"/>
        <v>3347.41</v>
      </c>
      <c r="X30" s="207">
        <f t="shared" si="21"/>
        <v>53</v>
      </c>
      <c r="Y30" s="207">
        <f t="shared" si="21"/>
        <v>976.80251680000015</v>
      </c>
      <c r="Z30" s="207">
        <f t="shared" si="21"/>
        <v>5</v>
      </c>
      <c r="AA30" s="207">
        <f t="shared" si="21"/>
        <v>148.46</v>
      </c>
      <c r="AB30" s="207">
        <f t="shared" si="21"/>
        <v>71</v>
      </c>
      <c r="AC30" s="207">
        <f t="shared" si="21"/>
        <v>1211.713105215</v>
      </c>
      <c r="AD30" s="207">
        <f t="shared" si="21"/>
        <v>0</v>
      </c>
      <c r="AE30" s="207">
        <f t="shared" si="21"/>
        <v>0</v>
      </c>
      <c r="AF30" s="207">
        <f t="shared" si="21"/>
        <v>0</v>
      </c>
      <c r="AG30" s="207">
        <f t="shared" si="21"/>
        <v>0</v>
      </c>
      <c r="AH30" s="207">
        <f t="shared" si="21"/>
        <v>0</v>
      </c>
      <c r="AI30" s="207">
        <f t="shared" si="21"/>
        <v>0</v>
      </c>
      <c r="AJ30" s="207">
        <f t="shared" si="21"/>
        <v>0</v>
      </c>
      <c r="AK30" s="207">
        <f t="shared" si="21"/>
        <v>0</v>
      </c>
      <c r="AL30" s="207">
        <f t="shared" si="21"/>
        <v>0</v>
      </c>
      <c r="AM30" s="207">
        <f t="shared" si="21"/>
        <v>0</v>
      </c>
      <c r="AN30" s="207">
        <f t="shared" si="21"/>
        <v>0</v>
      </c>
      <c r="AO30" s="207">
        <f t="shared" si="21"/>
        <v>0</v>
      </c>
      <c r="AP30" s="207">
        <f t="shared" si="21"/>
        <v>0</v>
      </c>
      <c r="AQ30" s="207">
        <f t="shared" si="21"/>
        <v>0</v>
      </c>
      <c r="AR30" s="207">
        <f t="shared" si="21"/>
        <v>0</v>
      </c>
      <c r="AS30" s="207">
        <f t="shared" si="21"/>
        <v>0</v>
      </c>
      <c r="AT30" s="207">
        <f t="shared" si="21"/>
        <v>0</v>
      </c>
      <c r="AU30" s="207">
        <f t="shared" si="21"/>
        <v>0</v>
      </c>
      <c r="AV30" s="207">
        <f t="shared" si="21"/>
        <v>0</v>
      </c>
      <c r="AW30" s="207">
        <f t="shared" si="21"/>
        <v>0</v>
      </c>
      <c r="AX30" s="207">
        <f t="shared" si="21"/>
        <v>0</v>
      </c>
      <c r="AY30" s="207">
        <f t="shared" si="21"/>
        <v>0</v>
      </c>
      <c r="AZ30" s="207">
        <f t="shared" si="21"/>
        <v>0</v>
      </c>
      <c r="BA30" s="207">
        <f t="shared" si="21"/>
        <v>0</v>
      </c>
      <c r="BB30" s="207">
        <f t="shared" si="21"/>
        <v>0</v>
      </c>
      <c r="BC30" s="207">
        <f t="shared" si="21"/>
        <v>0</v>
      </c>
      <c r="BD30" s="207">
        <f t="shared" si="21"/>
        <v>0</v>
      </c>
      <c r="BE30" s="207">
        <f t="shared" si="21"/>
        <v>0</v>
      </c>
    </row>
    <row r="31" spans="1:57" s="18" customFormat="1">
      <c r="A31" s="1174" t="s">
        <v>663</v>
      </c>
      <c r="B31" s="194">
        <v>69</v>
      </c>
      <c r="C31" s="194">
        <v>7021.1732980100014</v>
      </c>
      <c r="D31" s="194">
        <v>564</v>
      </c>
      <c r="E31" s="194">
        <v>37516.551904204003</v>
      </c>
      <c r="F31" s="194">
        <f>J31+N31+R31+V31+Z31+AD31+AH31+AL31+AP31+AT31+AX31+BB31</f>
        <v>50</v>
      </c>
      <c r="G31" s="194">
        <f t="shared" si="20"/>
        <v>8416.8574999999983</v>
      </c>
      <c r="H31" s="194">
        <f t="shared" si="20"/>
        <v>317</v>
      </c>
      <c r="I31" s="194">
        <f t="shared" si="20"/>
        <v>36154.656520242002</v>
      </c>
      <c r="J31" s="207">
        <v>8</v>
      </c>
      <c r="K31" s="207">
        <v>120.31</v>
      </c>
      <c r="L31" s="207">
        <v>85</v>
      </c>
      <c r="M31" s="207">
        <v>7298.8208013500016</v>
      </c>
      <c r="N31" s="207">
        <v>15</v>
      </c>
      <c r="O31" s="207">
        <v>2614.4275000000002</v>
      </c>
      <c r="P31" s="207">
        <v>92</v>
      </c>
      <c r="Q31" s="207">
        <v>22307.353909992002</v>
      </c>
      <c r="R31" s="207">
        <v>12</v>
      </c>
      <c r="S31" s="207">
        <v>2186.25</v>
      </c>
      <c r="T31" s="207">
        <v>42</v>
      </c>
      <c r="U31" s="207">
        <v>4664.8295521000018</v>
      </c>
      <c r="V31" s="207">
        <v>10</v>
      </c>
      <c r="W31" s="207">
        <v>3347.41</v>
      </c>
      <c r="X31" s="207">
        <v>43</v>
      </c>
      <c r="Y31" s="207">
        <v>859.31225680000011</v>
      </c>
      <c r="Z31" s="207">
        <v>5</v>
      </c>
      <c r="AA31" s="207">
        <v>148.46</v>
      </c>
      <c r="AB31" s="207">
        <v>55</v>
      </c>
      <c r="AC31" s="207">
        <v>1024.3400000000001</v>
      </c>
      <c r="AD31" s="269"/>
      <c r="AE31" s="207"/>
      <c r="AF31" s="269"/>
      <c r="AG31" s="207"/>
      <c r="AH31" s="269"/>
      <c r="AI31" s="207"/>
      <c r="AJ31" s="269"/>
      <c r="AK31" s="207"/>
      <c r="AL31" s="269"/>
      <c r="AM31" s="207"/>
      <c r="AN31" s="269"/>
      <c r="AO31" s="207"/>
      <c r="AP31" s="269"/>
      <c r="AQ31" s="207"/>
      <c r="AR31" s="269"/>
      <c r="AS31" s="207"/>
      <c r="AT31" s="269"/>
      <c r="AU31" s="207"/>
      <c r="AV31" s="269"/>
      <c r="AW31" s="207"/>
      <c r="AX31" s="269"/>
      <c r="AY31" s="207"/>
      <c r="AZ31" s="269"/>
      <c r="BA31" s="207"/>
      <c r="BB31" s="269"/>
      <c r="BC31" s="207"/>
      <c r="BD31" s="269"/>
      <c r="BE31" s="207"/>
    </row>
    <row r="32" spans="1:57" s="18" customFormat="1">
      <c r="A32" s="1174" t="s">
        <v>664</v>
      </c>
      <c r="B32" s="194">
        <v>0</v>
      </c>
      <c r="C32" s="194">
        <v>0</v>
      </c>
      <c r="D32" s="194">
        <v>56</v>
      </c>
      <c r="E32" s="194">
        <v>617.45168479999995</v>
      </c>
      <c r="F32" s="194">
        <f t="shared" si="20"/>
        <v>1</v>
      </c>
      <c r="G32" s="194">
        <f t="shared" si="20"/>
        <v>14.01</v>
      </c>
      <c r="H32" s="194">
        <f t="shared" si="20"/>
        <v>53</v>
      </c>
      <c r="I32" s="194">
        <f t="shared" si="20"/>
        <v>789.43823161499995</v>
      </c>
      <c r="J32" s="207">
        <v>0</v>
      </c>
      <c r="K32" s="207">
        <v>0</v>
      </c>
      <c r="L32" s="207">
        <v>14</v>
      </c>
      <c r="M32" s="207">
        <v>283.05912999999998</v>
      </c>
      <c r="N32" s="207">
        <v>0</v>
      </c>
      <c r="O32" s="207">
        <v>0</v>
      </c>
      <c r="P32" s="207">
        <v>7</v>
      </c>
      <c r="Q32" s="207">
        <v>71.411690399999998</v>
      </c>
      <c r="R32" s="207">
        <v>1</v>
      </c>
      <c r="S32" s="207">
        <v>14.01</v>
      </c>
      <c r="T32" s="207">
        <v>6</v>
      </c>
      <c r="U32" s="207">
        <v>130.10404599999998</v>
      </c>
      <c r="V32" s="207">
        <v>0</v>
      </c>
      <c r="W32" s="207">
        <v>0</v>
      </c>
      <c r="X32" s="207">
        <v>10</v>
      </c>
      <c r="Y32" s="207">
        <v>117.49026000000001</v>
      </c>
      <c r="Z32" s="207">
        <v>0</v>
      </c>
      <c r="AA32" s="207">
        <v>0</v>
      </c>
      <c r="AB32" s="207">
        <v>16</v>
      </c>
      <c r="AC32" s="207">
        <v>187.37310521499998</v>
      </c>
      <c r="AD32" s="269"/>
      <c r="AE32" s="207"/>
      <c r="AF32" s="269"/>
      <c r="AG32" s="207"/>
      <c r="AH32" s="269"/>
      <c r="AI32" s="207"/>
      <c r="AJ32" s="269"/>
      <c r="AK32" s="207"/>
      <c r="AL32" s="269"/>
      <c r="AM32" s="207"/>
      <c r="AN32" s="269"/>
      <c r="AO32" s="207"/>
      <c r="AP32" s="269"/>
      <c r="AQ32" s="207"/>
      <c r="AR32" s="269"/>
      <c r="AS32" s="207"/>
      <c r="AT32" s="269"/>
      <c r="AU32" s="207"/>
      <c r="AV32" s="269"/>
      <c r="AW32" s="207"/>
      <c r="AX32" s="269"/>
      <c r="AY32" s="207"/>
      <c r="AZ32" s="269"/>
      <c r="BA32" s="207"/>
      <c r="BB32" s="269"/>
      <c r="BC32" s="207"/>
      <c r="BD32" s="269"/>
      <c r="BE32" s="207"/>
    </row>
    <row r="33" spans="1:57" s="18" customFormat="1">
      <c r="A33" s="465" t="s">
        <v>666</v>
      </c>
      <c r="B33" s="194">
        <v>15</v>
      </c>
      <c r="C33" s="194">
        <v>40320.469933204993</v>
      </c>
      <c r="D33" s="194">
        <v>46</v>
      </c>
      <c r="E33" s="194">
        <v>28651.001407938005</v>
      </c>
      <c r="F33" s="194">
        <f>J33+N33+R33+V33+Z33+AD33+AH33+AL33+AP33+AT33+AX33+BB33</f>
        <v>3</v>
      </c>
      <c r="G33" s="194">
        <f t="shared" si="20"/>
        <v>2599.9997684179998</v>
      </c>
      <c r="H33" s="194">
        <f t="shared" si="20"/>
        <v>35</v>
      </c>
      <c r="I33" s="194">
        <f t="shared" si="20"/>
        <v>40667.278238683997</v>
      </c>
      <c r="J33" s="240">
        <f>J34+J35</f>
        <v>2</v>
      </c>
      <c r="K33" s="263">
        <f>K34+K35</f>
        <v>2099.999868418</v>
      </c>
      <c r="L33" s="240">
        <f>L34+L35</f>
        <v>9</v>
      </c>
      <c r="M33" s="264">
        <f>M34+M35</f>
        <v>9371.7329127920002</v>
      </c>
      <c r="N33" s="240">
        <f t="shared" ref="N33:AZ33" si="22">N34+N35</f>
        <v>0</v>
      </c>
      <c r="O33" s="263">
        <f t="shared" si="22"/>
        <v>0</v>
      </c>
      <c r="P33" s="240">
        <f t="shared" si="22"/>
        <v>2</v>
      </c>
      <c r="Q33" s="264">
        <f t="shared" si="22"/>
        <v>3039.9998919999998</v>
      </c>
      <c r="R33" s="240">
        <f t="shared" si="22"/>
        <v>1</v>
      </c>
      <c r="S33" s="263">
        <f t="shared" si="22"/>
        <v>499.99990000000003</v>
      </c>
      <c r="T33" s="240">
        <f t="shared" si="22"/>
        <v>5</v>
      </c>
      <c r="U33" s="264">
        <f t="shared" si="22"/>
        <v>2274.8397000000004</v>
      </c>
      <c r="V33" s="240">
        <f t="shared" si="22"/>
        <v>0</v>
      </c>
      <c r="W33" s="263">
        <f t="shared" si="22"/>
        <v>0</v>
      </c>
      <c r="X33" s="240">
        <f t="shared" si="22"/>
        <v>11</v>
      </c>
      <c r="Y33" s="264">
        <f t="shared" si="22"/>
        <v>13699.104579524997</v>
      </c>
      <c r="Z33" s="240">
        <f t="shared" si="22"/>
        <v>0</v>
      </c>
      <c r="AA33" s="263">
        <f t="shared" si="22"/>
        <v>0</v>
      </c>
      <c r="AB33" s="240">
        <f t="shared" si="22"/>
        <v>8</v>
      </c>
      <c r="AC33" s="264">
        <f t="shared" si="22"/>
        <v>12281.601154366997</v>
      </c>
      <c r="AD33" s="240">
        <f t="shared" si="22"/>
        <v>0</v>
      </c>
      <c r="AE33" s="263">
        <f t="shared" si="22"/>
        <v>0</v>
      </c>
      <c r="AF33" s="240">
        <f t="shared" si="22"/>
        <v>0</v>
      </c>
      <c r="AG33" s="264">
        <f t="shared" si="22"/>
        <v>0</v>
      </c>
      <c r="AH33" s="240">
        <f t="shared" si="22"/>
        <v>0</v>
      </c>
      <c r="AI33" s="263">
        <f t="shared" si="22"/>
        <v>0</v>
      </c>
      <c r="AJ33" s="240">
        <f t="shared" si="22"/>
        <v>0</v>
      </c>
      <c r="AK33" s="264">
        <f t="shared" si="22"/>
        <v>0</v>
      </c>
      <c r="AL33" s="240">
        <f t="shared" si="22"/>
        <v>0</v>
      </c>
      <c r="AM33" s="263">
        <f t="shared" si="22"/>
        <v>0</v>
      </c>
      <c r="AN33" s="240">
        <f t="shared" si="22"/>
        <v>0</v>
      </c>
      <c r="AO33" s="264">
        <f t="shared" si="22"/>
        <v>0</v>
      </c>
      <c r="AP33" s="240">
        <f t="shared" si="22"/>
        <v>0</v>
      </c>
      <c r="AQ33" s="263">
        <f t="shared" si="22"/>
        <v>0</v>
      </c>
      <c r="AR33" s="240">
        <f t="shared" si="22"/>
        <v>0</v>
      </c>
      <c r="AS33" s="264">
        <f t="shared" si="22"/>
        <v>0</v>
      </c>
      <c r="AT33" s="240">
        <f t="shared" si="22"/>
        <v>0</v>
      </c>
      <c r="AU33" s="263">
        <f t="shared" si="22"/>
        <v>0</v>
      </c>
      <c r="AV33" s="240">
        <f t="shared" si="22"/>
        <v>0</v>
      </c>
      <c r="AW33" s="264">
        <f t="shared" si="22"/>
        <v>0</v>
      </c>
      <c r="AX33" s="240">
        <f t="shared" si="22"/>
        <v>0</v>
      </c>
      <c r="AY33" s="263">
        <f t="shared" si="22"/>
        <v>0</v>
      </c>
      <c r="AZ33" s="240">
        <f t="shared" si="22"/>
        <v>0</v>
      </c>
      <c r="BA33" s="264">
        <f>BA34+BA35</f>
        <v>0</v>
      </c>
      <c r="BB33" s="264">
        <f>BB34+BB35</f>
        <v>0</v>
      </c>
      <c r="BC33" s="264">
        <f>BC34+BC35</f>
        <v>0</v>
      </c>
      <c r="BD33" s="264">
        <f>BD34+BD35</f>
        <v>0</v>
      </c>
      <c r="BE33" s="264">
        <f>BE34+BE35</f>
        <v>0</v>
      </c>
    </row>
    <row r="34" spans="1:57" s="18" customFormat="1">
      <c r="A34" s="1174" t="s">
        <v>663</v>
      </c>
      <c r="B34" s="194">
        <v>15</v>
      </c>
      <c r="C34" s="194">
        <v>40320.469933204993</v>
      </c>
      <c r="D34" s="194">
        <v>44</v>
      </c>
      <c r="E34" s="194">
        <v>28534.463557938001</v>
      </c>
      <c r="F34" s="194">
        <f t="shared" si="20"/>
        <v>3</v>
      </c>
      <c r="G34" s="194">
        <f t="shared" si="20"/>
        <v>2599.9997684179998</v>
      </c>
      <c r="H34" s="194">
        <f t="shared" si="20"/>
        <v>34</v>
      </c>
      <c r="I34" s="194">
        <f t="shared" si="20"/>
        <v>40642.438238683993</v>
      </c>
      <c r="J34" s="263">
        <v>2</v>
      </c>
      <c r="K34" s="263">
        <v>2099.999868418</v>
      </c>
      <c r="L34" s="265">
        <v>9</v>
      </c>
      <c r="M34" s="265">
        <v>9371.7329127920002</v>
      </c>
      <c r="N34" s="265">
        <v>0</v>
      </c>
      <c r="O34" s="265">
        <v>0</v>
      </c>
      <c r="P34" s="264">
        <v>2</v>
      </c>
      <c r="Q34" s="264">
        <v>3039.9998919999998</v>
      </c>
      <c r="R34" s="264">
        <v>1</v>
      </c>
      <c r="S34" s="264">
        <v>499.99990000000003</v>
      </c>
      <c r="T34" s="264">
        <v>4</v>
      </c>
      <c r="U34" s="264">
        <v>2249.9997000000003</v>
      </c>
      <c r="V34" s="207">
        <v>0</v>
      </c>
      <c r="W34" s="207">
        <v>0</v>
      </c>
      <c r="X34" s="240">
        <v>11</v>
      </c>
      <c r="Y34" s="206">
        <v>13699.104579524997</v>
      </c>
      <c r="Z34" s="207">
        <v>0</v>
      </c>
      <c r="AA34" s="207">
        <v>0</v>
      </c>
      <c r="AB34" s="240">
        <v>8</v>
      </c>
      <c r="AC34" s="206">
        <v>12281.601154366997</v>
      </c>
      <c r="AD34" s="265"/>
      <c r="AE34" s="265"/>
      <c r="AF34" s="470"/>
      <c r="AG34" s="471"/>
      <c r="AH34" s="469"/>
      <c r="AI34" s="469"/>
      <c r="AJ34" s="470"/>
      <c r="AK34" s="471"/>
      <c r="AL34" s="469"/>
      <c r="AM34" s="469"/>
      <c r="AN34" s="470"/>
      <c r="AO34" s="471"/>
      <c r="AP34" s="469"/>
      <c r="AQ34" s="469"/>
      <c r="AR34" s="470"/>
      <c r="AS34" s="471"/>
      <c r="AT34" s="265"/>
      <c r="AU34" s="265"/>
      <c r="AV34" s="470"/>
      <c r="AW34" s="471"/>
      <c r="AX34" s="469"/>
      <c r="AY34" s="469"/>
      <c r="AZ34" s="470"/>
      <c r="BA34" s="471"/>
      <c r="BB34" s="265"/>
      <c r="BC34" s="265"/>
      <c r="BD34" s="470"/>
      <c r="BE34" s="471"/>
    </row>
    <row r="35" spans="1:57" s="18" customFormat="1">
      <c r="A35" s="1174" t="s">
        <v>664</v>
      </c>
      <c r="B35" s="194">
        <v>0</v>
      </c>
      <c r="C35" s="194">
        <v>0</v>
      </c>
      <c r="D35" s="194">
        <v>2</v>
      </c>
      <c r="E35" s="194">
        <v>116.53785000000001</v>
      </c>
      <c r="F35" s="194">
        <f t="shared" si="20"/>
        <v>0</v>
      </c>
      <c r="G35" s="194">
        <f t="shared" si="20"/>
        <v>0</v>
      </c>
      <c r="H35" s="194">
        <f t="shared" si="20"/>
        <v>1</v>
      </c>
      <c r="I35" s="194">
        <f t="shared" si="20"/>
        <v>24.84</v>
      </c>
      <c r="J35" s="265">
        <v>0</v>
      </c>
      <c r="K35" s="265">
        <v>0</v>
      </c>
      <c r="L35" s="265">
        <v>0</v>
      </c>
      <c r="M35" s="265">
        <v>0</v>
      </c>
      <c r="N35" s="265">
        <v>0</v>
      </c>
      <c r="O35" s="265">
        <v>0</v>
      </c>
      <c r="P35" s="265">
        <v>0</v>
      </c>
      <c r="Q35" s="265">
        <v>0</v>
      </c>
      <c r="R35" s="265">
        <v>0</v>
      </c>
      <c r="S35" s="265">
        <v>0</v>
      </c>
      <c r="T35" s="265">
        <v>1</v>
      </c>
      <c r="U35" s="265">
        <v>24.84</v>
      </c>
      <c r="V35" s="207">
        <v>0</v>
      </c>
      <c r="W35" s="207">
        <v>0</v>
      </c>
      <c r="X35" s="207">
        <v>0</v>
      </c>
      <c r="Y35" s="207">
        <v>0</v>
      </c>
      <c r="Z35" s="207">
        <v>0</v>
      </c>
      <c r="AA35" s="207">
        <v>0</v>
      </c>
      <c r="AB35" s="265">
        <v>0</v>
      </c>
      <c r="AC35" s="265">
        <v>0</v>
      </c>
      <c r="AD35" s="265"/>
      <c r="AE35" s="265"/>
      <c r="AF35" s="265"/>
      <c r="AG35" s="265"/>
      <c r="AH35" s="265"/>
      <c r="AI35" s="265"/>
      <c r="AJ35" s="265"/>
      <c r="AK35" s="265"/>
      <c r="AL35" s="265"/>
      <c r="AM35" s="265"/>
      <c r="AN35" s="265"/>
      <c r="AO35" s="265"/>
      <c r="AP35" s="265"/>
      <c r="AQ35" s="265"/>
      <c r="AR35" s="470"/>
      <c r="AS35" s="471"/>
      <c r="AT35" s="265"/>
      <c r="AU35" s="265"/>
      <c r="AV35" s="265"/>
      <c r="AW35" s="265"/>
      <c r="AX35" s="265"/>
      <c r="AY35" s="265"/>
      <c r="AZ35" s="265"/>
      <c r="BA35" s="265"/>
      <c r="BB35" s="265"/>
      <c r="BC35" s="265"/>
      <c r="BD35" s="470"/>
      <c r="BE35" s="471"/>
    </row>
    <row r="36" spans="1:57" s="18" customFormat="1">
      <c r="A36" s="463" t="s">
        <v>667</v>
      </c>
      <c r="B36" s="194">
        <v>4</v>
      </c>
      <c r="C36" s="194">
        <v>1652.7280414000002</v>
      </c>
      <c r="D36" s="194">
        <v>47</v>
      </c>
      <c r="E36" s="194">
        <v>22881.828268093999</v>
      </c>
      <c r="F36" s="194">
        <f>J36+N36+R36+V36+Z36+AD36+AH36+AL36+AP36+AT36+AX36+BB36</f>
        <v>0</v>
      </c>
      <c r="G36" s="194">
        <f t="shared" si="20"/>
        <v>0</v>
      </c>
      <c r="H36" s="194">
        <f t="shared" si="20"/>
        <v>12</v>
      </c>
      <c r="I36" s="194">
        <f t="shared" si="20"/>
        <v>2965.8564422499999</v>
      </c>
      <c r="J36" s="195">
        <f>J37+J38</f>
        <v>0</v>
      </c>
      <c r="K36" s="195">
        <f>K37+K38</f>
        <v>0</v>
      </c>
      <c r="L36" s="195">
        <f>L37+L38</f>
        <v>2</v>
      </c>
      <c r="M36" s="195">
        <f>M37+M38</f>
        <v>14.3120016</v>
      </c>
      <c r="N36" s="195">
        <f t="shared" ref="N36:BE36" si="23">N37+N38</f>
        <v>0</v>
      </c>
      <c r="O36" s="195">
        <f t="shared" si="23"/>
        <v>0</v>
      </c>
      <c r="P36" s="195">
        <f t="shared" si="23"/>
        <v>2</v>
      </c>
      <c r="Q36" s="195">
        <f t="shared" si="23"/>
        <v>219.9577275</v>
      </c>
      <c r="R36" s="195">
        <f t="shared" si="23"/>
        <v>0</v>
      </c>
      <c r="S36" s="195">
        <f t="shared" si="23"/>
        <v>0</v>
      </c>
      <c r="T36" s="195">
        <f t="shared" si="23"/>
        <v>2</v>
      </c>
      <c r="U36" s="195">
        <f t="shared" si="23"/>
        <v>91.010919999999999</v>
      </c>
      <c r="V36" s="195">
        <f t="shared" si="23"/>
        <v>0</v>
      </c>
      <c r="W36" s="195">
        <f t="shared" si="23"/>
        <v>0</v>
      </c>
      <c r="X36" s="195">
        <f t="shared" si="23"/>
        <v>4</v>
      </c>
      <c r="Y36" s="195">
        <f t="shared" si="23"/>
        <v>833.74329315</v>
      </c>
      <c r="Z36" s="195">
        <f t="shared" si="23"/>
        <v>0</v>
      </c>
      <c r="AA36" s="195">
        <f t="shared" si="23"/>
        <v>0</v>
      </c>
      <c r="AB36" s="195">
        <f t="shared" si="23"/>
        <v>2</v>
      </c>
      <c r="AC36" s="195">
        <f t="shared" si="23"/>
        <v>1806.8325</v>
      </c>
      <c r="AD36" s="195">
        <f t="shared" si="23"/>
        <v>0</v>
      </c>
      <c r="AE36" s="195">
        <f t="shared" si="23"/>
        <v>0</v>
      </c>
      <c r="AF36" s="195">
        <f t="shared" si="23"/>
        <v>0</v>
      </c>
      <c r="AG36" s="195">
        <f t="shared" si="23"/>
        <v>0</v>
      </c>
      <c r="AH36" s="195">
        <f t="shared" si="23"/>
        <v>0</v>
      </c>
      <c r="AI36" s="195">
        <f t="shared" si="23"/>
        <v>0</v>
      </c>
      <c r="AJ36" s="195">
        <f t="shared" si="23"/>
        <v>0</v>
      </c>
      <c r="AK36" s="195">
        <f t="shared" si="23"/>
        <v>0</v>
      </c>
      <c r="AL36" s="195">
        <f t="shared" si="23"/>
        <v>0</v>
      </c>
      <c r="AM36" s="195">
        <f t="shared" si="23"/>
        <v>0</v>
      </c>
      <c r="AN36" s="195">
        <f t="shared" si="23"/>
        <v>0</v>
      </c>
      <c r="AO36" s="195">
        <f t="shared" si="23"/>
        <v>0</v>
      </c>
      <c r="AP36" s="195">
        <f t="shared" si="23"/>
        <v>0</v>
      </c>
      <c r="AQ36" s="195">
        <f t="shared" si="23"/>
        <v>0</v>
      </c>
      <c r="AR36" s="195">
        <f t="shared" si="23"/>
        <v>0</v>
      </c>
      <c r="AS36" s="195">
        <f t="shared" si="23"/>
        <v>0</v>
      </c>
      <c r="AT36" s="195">
        <f t="shared" si="23"/>
        <v>0</v>
      </c>
      <c r="AU36" s="195">
        <f t="shared" si="23"/>
        <v>0</v>
      </c>
      <c r="AV36" s="195">
        <f t="shared" si="23"/>
        <v>0</v>
      </c>
      <c r="AW36" s="195">
        <f t="shared" si="23"/>
        <v>0</v>
      </c>
      <c r="AX36" s="195">
        <f t="shared" si="23"/>
        <v>0</v>
      </c>
      <c r="AY36" s="195">
        <f t="shared" si="23"/>
        <v>0</v>
      </c>
      <c r="AZ36" s="195">
        <f t="shared" si="23"/>
        <v>0</v>
      </c>
      <c r="BA36" s="195">
        <f t="shared" si="23"/>
        <v>0</v>
      </c>
      <c r="BB36" s="195">
        <f t="shared" si="23"/>
        <v>0</v>
      </c>
      <c r="BC36" s="195">
        <f t="shared" si="23"/>
        <v>0</v>
      </c>
      <c r="BD36" s="195">
        <f t="shared" si="23"/>
        <v>0</v>
      </c>
      <c r="BE36" s="195">
        <f t="shared" si="23"/>
        <v>0</v>
      </c>
    </row>
    <row r="37" spans="1:57" s="18" customFormat="1">
      <c r="A37" s="1174" t="s">
        <v>668</v>
      </c>
      <c r="B37" s="194">
        <v>4</v>
      </c>
      <c r="C37" s="194">
        <v>1652.7280414000002</v>
      </c>
      <c r="D37" s="194">
        <v>47</v>
      </c>
      <c r="E37" s="194">
        <v>22881.828268093999</v>
      </c>
      <c r="F37" s="194">
        <f>J37+N37+R37+V37+Z37+AD37+AH37+AL37+AP37+AT37+AX37+BB37</f>
        <v>0</v>
      </c>
      <c r="G37" s="194">
        <f t="shared" si="20"/>
        <v>0</v>
      </c>
      <c r="H37" s="194">
        <f t="shared" si="20"/>
        <v>12</v>
      </c>
      <c r="I37" s="194">
        <f t="shared" si="20"/>
        <v>2965.8564422499999</v>
      </c>
      <c r="J37" s="195">
        <v>0</v>
      </c>
      <c r="K37" s="195">
        <v>0</v>
      </c>
      <c r="L37" s="271">
        <v>2</v>
      </c>
      <c r="M37" s="195">
        <v>14.3120016</v>
      </c>
      <c r="N37" s="271">
        <v>0</v>
      </c>
      <c r="O37" s="195">
        <v>0</v>
      </c>
      <c r="P37" s="271">
        <v>2</v>
      </c>
      <c r="Q37" s="195">
        <v>219.9577275</v>
      </c>
      <c r="R37" s="195">
        <v>0</v>
      </c>
      <c r="S37" s="195">
        <v>0</v>
      </c>
      <c r="T37" s="472">
        <v>2</v>
      </c>
      <c r="U37" s="451">
        <v>91.010919999999999</v>
      </c>
      <c r="V37" s="207">
        <v>0</v>
      </c>
      <c r="W37" s="207">
        <v>0</v>
      </c>
      <c r="X37" s="472">
        <v>4</v>
      </c>
      <c r="Y37" s="451">
        <v>833.74329315</v>
      </c>
      <c r="Z37" s="207">
        <v>0</v>
      </c>
      <c r="AA37" s="207">
        <v>0</v>
      </c>
      <c r="AB37" s="472">
        <v>2</v>
      </c>
      <c r="AC37" s="206">
        <v>1806.8325</v>
      </c>
      <c r="AD37" s="195"/>
      <c r="AE37" s="195"/>
      <c r="AF37" s="472"/>
      <c r="AG37" s="451"/>
      <c r="AH37" s="195"/>
      <c r="AI37" s="195"/>
      <c r="AJ37" s="472"/>
      <c r="AK37" s="451"/>
      <c r="AL37" s="195"/>
      <c r="AM37" s="195"/>
      <c r="AN37" s="472"/>
      <c r="AO37" s="451"/>
      <c r="AP37" s="195"/>
      <c r="AQ37" s="195"/>
      <c r="AR37" s="472"/>
      <c r="AS37" s="451"/>
      <c r="AT37" s="195"/>
      <c r="AU37" s="195"/>
      <c r="AV37" s="472"/>
      <c r="AW37" s="451"/>
      <c r="AX37" s="195"/>
      <c r="AY37" s="195"/>
      <c r="AZ37" s="472"/>
      <c r="BA37" s="451"/>
      <c r="BB37" s="271"/>
      <c r="BC37" s="257"/>
      <c r="BD37" s="472"/>
      <c r="BE37" s="451"/>
    </row>
    <row r="38" spans="1:57" s="18" customFormat="1">
      <c r="A38" s="1174" t="s">
        <v>669</v>
      </c>
      <c r="B38" s="194">
        <v>0</v>
      </c>
      <c r="C38" s="194">
        <v>0</v>
      </c>
      <c r="D38" s="194">
        <v>0</v>
      </c>
      <c r="E38" s="194">
        <v>0</v>
      </c>
      <c r="F38" s="194">
        <f>J38+N38+R38+V38+Z38+AD38+AH38+AL38+AP38+AT38+AX38+BB38</f>
        <v>0</v>
      </c>
      <c r="G38" s="194">
        <f t="shared" si="20"/>
        <v>0</v>
      </c>
      <c r="H38" s="194">
        <f t="shared" si="20"/>
        <v>0</v>
      </c>
      <c r="I38" s="194">
        <f t="shared" si="20"/>
        <v>0</v>
      </c>
      <c r="J38" s="195">
        <v>0</v>
      </c>
      <c r="K38" s="195">
        <v>0</v>
      </c>
      <c r="L38" s="195">
        <v>0</v>
      </c>
      <c r="M38" s="195">
        <v>0</v>
      </c>
      <c r="N38" s="195">
        <v>0</v>
      </c>
      <c r="O38" s="195">
        <v>0</v>
      </c>
      <c r="P38" s="195">
        <v>0</v>
      </c>
      <c r="Q38" s="195">
        <v>0</v>
      </c>
      <c r="R38" s="195">
        <v>0</v>
      </c>
      <c r="S38" s="195">
        <v>0</v>
      </c>
      <c r="T38" s="195">
        <v>0</v>
      </c>
      <c r="U38" s="195">
        <v>0</v>
      </c>
      <c r="V38" s="207">
        <v>0</v>
      </c>
      <c r="W38" s="207">
        <v>0</v>
      </c>
      <c r="X38" s="207">
        <v>0</v>
      </c>
      <c r="Y38" s="207">
        <v>0</v>
      </c>
      <c r="Z38" s="207">
        <v>0</v>
      </c>
      <c r="AA38" s="207">
        <v>0</v>
      </c>
      <c r="AB38" s="207">
        <v>0</v>
      </c>
      <c r="AC38" s="207">
        <v>0</v>
      </c>
      <c r="AD38" s="195"/>
      <c r="AE38" s="195"/>
      <c r="AF38" s="195"/>
      <c r="AG38" s="195"/>
      <c r="AH38" s="195"/>
      <c r="AI38" s="195"/>
      <c r="AJ38" s="195"/>
      <c r="AK38" s="195"/>
      <c r="AL38" s="195"/>
      <c r="AM38" s="195"/>
      <c r="AN38" s="195"/>
      <c r="AO38" s="195"/>
      <c r="AP38" s="195"/>
      <c r="AQ38" s="195"/>
      <c r="AR38" s="195"/>
      <c r="AS38" s="195"/>
      <c r="AT38" s="195"/>
      <c r="AU38" s="195"/>
      <c r="AV38" s="195"/>
      <c r="AW38" s="195"/>
      <c r="AX38" s="195"/>
      <c r="AY38" s="195"/>
      <c r="AZ38" s="195"/>
      <c r="BA38" s="195"/>
      <c r="BB38" s="195"/>
      <c r="BC38" s="195"/>
      <c r="BD38" s="195"/>
      <c r="BE38" s="195"/>
    </row>
    <row r="39" spans="1:57" s="18" customFormat="1">
      <c r="A39" s="464" t="s">
        <v>722</v>
      </c>
      <c r="B39" s="272">
        <f>B24+B27+B30+B33+B36</f>
        <v>109</v>
      </c>
      <c r="C39" s="272">
        <f>C24+C27+C30+C33+C36</f>
        <v>63864.242118614988</v>
      </c>
      <c r="D39" s="272">
        <f>D24+D27+D30+D33+D36</f>
        <v>1032</v>
      </c>
      <c r="E39" s="272">
        <f>E24+E27+E30+E33+E36</f>
        <v>157889.47865903599</v>
      </c>
      <c r="F39" s="272">
        <f>F24+F27+F30+F33+F36</f>
        <v>68</v>
      </c>
      <c r="G39" s="272">
        <f t="shared" ref="G39:BE39" si="24">G24+G27+G30+G33+G36</f>
        <v>19556.375547618001</v>
      </c>
      <c r="H39" s="272">
        <f t="shared" si="24"/>
        <v>598</v>
      </c>
      <c r="I39" s="272">
        <f t="shared" si="24"/>
        <v>141092.83314529699</v>
      </c>
      <c r="J39" s="272">
        <f t="shared" si="24"/>
        <v>12</v>
      </c>
      <c r="K39" s="272">
        <f t="shared" si="24"/>
        <v>3404.4398684180001</v>
      </c>
      <c r="L39" s="272">
        <f t="shared" si="24"/>
        <v>143</v>
      </c>
      <c r="M39" s="272">
        <f t="shared" si="24"/>
        <v>41154.361677642002</v>
      </c>
      <c r="N39" s="272">
        <f t="shared" si="24"/>
        <v>18</v>
      </c>
      <c r="O39" s="272">
        <f t="shared" si="24"/>
        <v>9500.9014592000003</v>
      </c>
      <c r="P39" s="272">
        <f t="shared" si="24"/>
        <v>138</v>
      </c>
      <c r="Q39" s="272">
        <f t="shared" si="24"/>
        <v>31040.832733492003</v>
      </c>
      <c r="R39" s="272">
        <f t="shared" si="24"/>
        <v>18</v>
      </c>
      <c r="S39" s="272">
        <f t="shared" si="24"/>
        <v>2955.3099000000002</v>
      </c>
      <c r="T39" s="272">
        <f t="shared" si="24"/>
        <v>89</v>
      </c>
      <c r="U39" s="272">
        <f t="shared" si="24"/>
        <v>10476.932218100003</v>
      </c>
      <c r="V39" s="272">
        <f t="shared" si="24"/>
        <v>14</v>
      </c>
      <c r="W39" s="272">
        <f t="shared" si="24"/>
        <v>3498.3343199999999</v>
      </c>
      <c r="X39" s="272">
        <f t="shared" si="24"/>
        <v>106</v>
      </c>
      <c r="Y39" s="272">
        <f t="shared" si="24"/>
        <v>24359.826922574997</v>
      </c>
      <c r="Z39" s="272">
        <f t="shared" si="24"/>
        <v>6</v>
      </c>
      <c r="AA39" s="272">
        <f t="shared" si="24"/>
        <v>197.39000000000001</v>
      </c>
      <c r="AB39" s="272">
        <f t="shared" si="24"/>
        <v>122</v>
      </c>
      <c r="AC39" s="272">
        <f t="shared" si="24"/>
        <v>34060.879593487996</v>
      </c>
      <c r="AD39" s="272">
        <f t="shared" si="24"/>
        <v>0</v>
      </c>
      <c r="AE39" s="272">
        <f t="shared" si="24"/>
        <v>0</v>
      </c>
      <c r="AF39" s="272">
        <f t="shared" si="24"/>
        <v>0</v>
      </c>
      <c r="AG39" s="272">
        <f t="shared" si="24"/>
        <v>0</v>
      </c>
      <c r="AH39" s="272">
        <f t="shared" si="24"/>
        <v>0</v>
      </c>
      <c r="AI39" s="272">
        <f t="shared" si="24"/>
        <v>0</v>
      </c>
      <c r="AJ39" s="272">
        <f t="shared" si="24"/>
        <v>0</v>
      </c>
      <c r="AK39" s="272">
        <f t="shared" si="24"/>
        <v>0</v>
      </c>
      <c r="AL39" s="272">
        <f t="shared" si="24"/>
        <v>0</v>
      </c>
      <c r="AM39" s="272">
        <f t="shared" si="24"/>
        <v>0</v>
      </c>
      <c r="AN39" s="272">
        <f t="shared" si="24"/>
        <v>0</v>
      </c>
      <c r="AO39" s="272">
        <f t="shared" si="24"/>
        <v>0</v>
      </c>
      <c r="AP39" s="272">
        <f t="shared" si="24"/>
        <v>0</v>
      </c>
      <c r="AQ39" s="272">
        <f t="shared" si="24"/>
        <v>0</v>
      </c>
      <c r="AR39" s="272">
        <f t="shared" si="24"/>
        <v>0</v>
      </c>
      <c r="AS39" s="272">
        <f t="shared" si="24"/>
        <v>0</v>
      </c>
      <c r="AT39" s="272">
        <f t="shared" si="24"/>
        <v>0</v>
      </c>
      <c r="AU39" s="272">
        <f t="shared" si="24"/>
        <v>0</v>
      </c>
      <c r="AV39" s="272">
        <f t="shared" si="24"/>
        <v>0</v>
      </c>
      <c r="AW39" s="272">
        <f t="shared" si="24"/>
        <v>0</v>
      </c>
      <c r="AX39" s="272">
        <f t="shared" si="24"/>
        <v>0</v>
      </c>
      <c r="AY39" s="272">
        <f t="shared" si="24"/>
        <v>0</v>
      </c>
      <c r="AZ39" s="272">
        <f t="shared" si="24"/>
        <v>0</v>
      </c>
      <c r="BA39" s="272">
        <f t="shared" si="24"/>
        <v>0</v>
      </c>
      <c r="BB39" s="272">
        <f t="shared" si="24"/>
        <v>0</v>
      </c>
      <c r="BC39" s="272">
        <f t="shared" si="24"/>
        <v>0</v>
      </c>
      <c r="BD39" s="272">
        <f t="shared" si="24"/>
        <v>0</v>
      </c>
      <c r="BE39" s="272">
        <f t="shared" si="24"/>
        <v>0</v>
      </c>
    </row>
    <row r="40" spans="1:57" s="18" customFormat="1">
      <c r="A40" s="1174" t="s">
        <v>731</v>
      </c>
      <c r="B40" s="273" t="s">
        <v>235</v>
      </c>
      <c r="C40" s="274">
        <f>C25+C36</f>
        <v>4601.0168033</v>
      </c>
      <c r="D40" s="273" t="s">
        <v>235</v>
      </c>
      <c r="E40" s="274">
        <f>E25+E36</f>
        <v>53364.144812793995</v>
      </c>
      <c r="F40" s="273" t="s">
        <v>235</v>
      </c>
      <c r="G40" s="274">
        <f>G25+G36</f>
        <v>3498.9338468999999</v>
      </c>
      <c r="H40" s="273" t="s">
        <v>235</v>
      </c>
      <c r="I40" s="274">
        <f>I25+I36</f>
        <v>19203.720789449999</v>
      </c>
      <c r="J40" s="273" t="s">
        <v>235</v>
      </c>
      <c r="K40" s="274">
        <f>K25+K36</f>
        <v>0</v>
      </c>
      <c r="L40" s="273" t="s">
        <v>235</v>
      </c>
      <c r="M40" s="274">
        <f>M25+M36</f>
        <v>4638.7856596000001</v>
      </c>
      <c r="N40" s="273" t="s">
        <v>235</v>
      </c>
      <c r="O40" s="274">
        <f>O25+O36</f>
        <v>3489.6458468999999</v>
      </c>
      <c r="P40" s="273" t="s">
        <v>235</v>
      </c>
      <c r="Q40" s="274">
        <f>Q25+Q36</f>
        <v>2930.0506096000004</v>
      </c>
      <c r="R40" s="273" t="s">
        <v>235</v>
      </c>
      <c r="S40" s="274">
        <f>S25+S36</f>
        <v>9.2880000000000003</v>
      </c>
      <c r="T40" s="273" t="s">
        <v>235</v>
      </c>
      <c r="U40" s="274">
        <f>U25+U36</f>
        <v>1319.8403408000001</v>
      </c>
      <c r="V40" s="273" t="s">
        <v>235</v>
      </c>
      <c r="W40" s="274">
        <f>W25+W36</f>
        <v>0</v>
      </c>
      <c r="X40" s="273" t="s">
        <v>235</v>
      </c>
      <c r="Y40" s="274">
        <f>Y25+Y36</f>
        <v>2755.7029876500001</v>
      </c>
      <c r="Z40" s="273" t="s">
        <v>235</v>
      </c>
      <c r="AA40" s="274">
        <f>AA25+AA36</f>
        <v>0</v>
      </c>
      <c r="AB40" s="273" t="s">
        <v>235</v>
      </c>
      <c r="AC40" s="274">
        <f>AC25+AC36</f>
        <v>7559.3411918000002</v>
      </c>
      <c r="AD40" s="273" t="s">
        <v>235</v>
      </c>
      <c r="AE40" s="274">
        <f>AE25+AE36</f>
        <v>0</v>
      </c>
      <c r="AF40" s="273" t="s">
        <v>235</v>
      </c>
      <c r="AG40" s="274">
        <f>AG25+AG36</f>
        <v>0</v>
      </c>
      <c r="AH40" s="273" t="s">
        <v>235</v>
      </c>
      <c r="AI40" s="274">
        <f>AI25+AI36</f>
        <v>0</v>
      </c>
      <c r="AJ40" s="273" t="s">
        <v>235</v>
      </c>
      <c r="AK40" s="274">
        <f>AK25+AK36</f>
        <v>0</v>
      </c>
      <c r="AL40" s="273" t="s">
        <v>235</v>
      </c>
      <c r="AM40" s="274">
        <f>AM25+AM36</f>
        <v>0</v>
      </c>
      <c r="AN40" s="273" t="s">
        <v>235</v>
      </c>
      <c r="AO40" s="274">
        <f>AO25+AO36</f>
        <v>0</v>
      </c>
      <c r="AP40" s="273" t="s">
        <v>235</v>
      </c>
      <c r="AQ40" s="274">
        <f>AQ25+AQ36</f>
        <v>0</v>
      </c>
      <c r="AR40" s="273" t="s">
        <v>235</v>
      </c>
      <c r="AS40" s="274">
        <f>AS25+AS36</f>
        <v>0</v>
      </c>
      <c r="AT40" s="273" t="s">
        <v>235</v>
      </c>
      <c r="AU40" s="274">
        <f>AU25+AU36</f>
        <v>0</v>
      </c>
      <c r="AV40" s="273" t="s">
        <v>235</v>
      </c>
      <c r="AW40" s="274">
        <f>AW25+AW36</f>
        <v>0</v>
      </c>
      <c r="AX40" s="273" t="s">
        <v>235</v>
      </c>
      <c r="AY40" s="274">
        <f>AY25+AY36</f>
        <v>0</v>
      </c>
      <c r="AZ40" s="273" t="s">
        <v>235</v>
      </c>
      <c r="BA40" s="274">
        <f>BA25+BA36</f>
        <v>0</v>
      </c>
      <c r="BB40" s="273" t="s">
        <v>235</v>
      </c>
      <c r="BC40" s="274">
        <f>BC25+BC36</f>
        <v>0</v>
      </c>
      <c r="BD40" s="273" t="s">
        <v>235</v>
      </c>
      <c r="BE40" s="274">
        <f>BE25+BE36</f>
        <v>0</v>
      </c>
    </row>
    <row r="41" spans="1:57" s="18" customFormat="1">
      <c r="A41" s="1174" t="s">
        <v>732</v>
      </c>
      <c r="B41" s="273" t="s">
        <v>235</v>
      </c>
      <c r="C41" s="275">
        <f>C33+C30+C27+C26</f>
        <v>59264.056554014991</v>
      </c>
      <c r="D41" s="273" t="s">
        <v>235</v>
      </c>
      <c r="E41" s="275">
        <f>E33+E30+E27+E26</f>
        <v>104532.696471142</v>
      </c>
      <c r="F41" s="273" t="s">
        <v>235</v>
      </c>
      <c r="G41" s="275">
        <f>G33+G30+G27+G26</f>
        <v>16057.993037718001</v>
      </c>
      <c r="H41" s="273" t="s">
        <v>235</v>
      </c>
      <c r="I41" s="275">
        <f>I33+I30+I27+I26</f>
        <v>121894.45027734702</v>
      </c>
      <c r="J41" s="273" t="s">
        <v>235</v>
      </c>
      <c r="K41" s="275">
        <f>K33+K30+K27+K26</f>
        <v>3404.4398684180001</v>
      </c>
      <c r="L41" s="273" t="s">
        <v>235</v>
      </c>
      <c r="M41" s="275">
        <f>M33+M30+M27+M26</f>
        <v>36515.597808541992</v>
      </c>
      <c r="N41" s="273" t="s">
        <v>235</v>
      </c>
      <c r="O41" s="275">
        <f>O33+O30+O27+O26</f>
        <v>6011.8069493000003</v>
      </c>
      <c r="P41" s="273" t="s">
        <v>235</v>
      </c>
      <c r="Q41" s="275">
        <f>Q33+Q30+Q27+Q26</f>
        <v>28111.757971492003</v>
      </c>
      <c r="R41" s="273" t="s">
        <v>235</v>
      </c>
      <c r="S41" s="275">
        <f>S33+S30+S27+S26</f>
        <v>2946.0219000000002</v>
      </c>
      <c r="T41" s="273" t="s">
        <v>235</v>
      </c>
      <c r="U41" s="275">
        <f>U33+U30+U27+U26</f>
        <v>9157.2307246000018</v>
      </c>
      <c r="V41" s="273" t="s">
        <v>235</v>
      </c>
      <c r="W41" s="275">
        <f>W33+W30+W27+W26</f>
        <v>3498.3343199999999</v>
      </c>
      <c r="X41" s="273" t="s">
        <v>235</v>
      </c>
      <c r="Y41" s="275">
        <f>Y33+Y30+Y27+Y26</f>
        <v>21605.415210824995</v>
      </c>
      <c r="Z41" s="273" t="s">
        <v>235</v>
      </c>
      <c r="AA41" s="275">
        <f>AA33+AA30+AA27+AA26</f>
        <v>197.39000000000001</v>
      </c>
      <c r="AB41" s="273" t="s">
        <v>235</v>
      </c>
      <c r="AC41" s="275">
        <f>AC33+AC30+AC27+AC26</f>
        <v>26504.448561887995</v>
      </c>
      <c r="AD41" s="273" t="s">
        <v>235</v>
      </c>
      <c r="AE41" s="275">
        <f>AE33+AE30+AE27+AE26</f>
        <v>0</v>
      </c>
      <c r="AF41" s="273" t="s">
        <v>235</v>
      </c>
      <c r="AG41" s="275">
        <f>AG33+AG30+AG27+AG26</f>
        <v>0</v>
      </c>
      <c r="AH41" s="273" t="s">
        <v>235</v>
      </c>
      <c r="AI41" s="275">
        <f>AI33+AI30+AI27+AI26</f>
        <v>0</v>
      </c>
      <c r="AJ41" s="273" t="s">
        <v>235</v>
      </c>
      <c r="AK41" s="275">
        <f>AK33+AK30+AK27+AK26</f>
        <v>0</v>
      </c>
      <c r="AL41" s="273" t="s">
        <v>235</v>
      </c>
      <c r="AM41" s="275">
        <f>AM33+AM30+AM27+AM26</f>
        <v>0</v>
      </c>
      <c r="AN41" s="273" t="s">
        <v>235</v>
      </c>
      <c r="AO41" s="275">
        <f>AO33+AO30+AO27+AO26</f>
        <v>0</v>
      </c>
      <c r="AP41" s="273" t="s">
        <v>235</v>
      </c>
      <c r="AQ41" s="275">
        <f>AQ33+AQ30+AQ27+AQ26</f>
        <v>0</v>
      </c>
      <c r="AR41" s="273" t="s">
        <v>235</v>
      </c>
      <c r="AS41" s="275">
        <f>AS33+AS30+AS27+AS26</f>
        <v>0</v>
      </c>
      <c r="AT41" s="273" t="s">
        <v>235</v>
      </c>
      <c r="AU41" s="275">
        <f>AU33+AU30+AU27+AU26</f>
        <v>0</v>
      </c>
      <c r="AV41" s="273" t="s">
        <v>235</v>
      </c>
      <c r="AW41" s="275">
        <f>AW33+AW30+AW27+AW26</f>
        <v>0</v>
      </c>
      <c r="AX41" s="273" t="s">
        <v>235</v>
      </c>
      <c r="AY41" s="275">
        <f>AY33+AY30+AY27+AY26</f>
        <v>0</v>
      </c>
      <c r="AZ41" s="273" t="s">
        <v>235</v>
      </c>
      <c r="BA41" s="275">
        <f>BA33+BA30+BA27+BA26</f>
        <v>0</v>
      </c>
      <c r="BB41" s="273" t="s">
        <v>235</v>
      </c>
      <c r="BC41" s="275">
        <f>BC33+BC30+BC27+BC26</f>
        <v>0</v>
      </c>
      <c r="BD41" s="273" t="s">
        <v>235</v>
      </c>
      <c r="BE41" s="275">
        <f>BE33+BE30+BE27+BE26</f>
        <v>0</v>
      </c>
    </row>
    <row r="42" spans="1:57" s="18" customFormat="1">
      <c r="A42" s="473" t="s">
        <v>670</v>
      </c>
      <c r="B42" s="403"/>
      <c r="C42" s="403"/>
      <c r="D42" s="403"/>
      <c r="E42" s="403"/>
      <c r="F42" s="474"/>
      <c r="G42" s="474"/>
      <c r="H42" s="474"/>
      <c r="I42" s="474"/>
      <c r="J42" s="474"/>
      <c r="K42" s="474"/>
      <c r="L42" s="474"/>
      <c r="M42" s="475"/>
      <c r="N42" s="474"/>
      <c r="O42" s="474"/>
      <c r="P42" s="474"/>
      <c r="Q42" s="475"/>
      <c r="R42" s="474"/>
      <c r="S42" s="474"/>
      <c r="T42" s="474"/>
      <c r="U42" s="475"/>
      <c r="V42" s="474"/>
      <c r="W42" s="474"/>
      <c r="X42" s="474"/>
      <c r="Y42" s="475"/>
      <c r="Z42" s="474"/>
      <c r="AA42" s="474"/>
      <c r="AB42" s="474"/>
      <c r="AC42" s="475"/>
      <c r="AD42" s="474"/>
      <c r="AE42" s="474"/>
      <c r="AF42" s="474"/>
      <c r="AG42" s="475"/>
      <c r="AH42" s="474"/>
      <c r="AI42" s="474"/>
      <c r="AJ42" s="474"/>
      <c r="AK42" s="475"/>
      <c r="AL42" s="474"/>
      <c r="AM42" s="474"/>
      <c r="AN42" s="474"/>
      <c r="AO42" s="475"/>
      <c r="AP42" s="474"/>
      <c r="AQ42" s="474"/>
      <c r="AR42" s="474"/>
      <c r="AS42" s="475"/>
      <c r="AT42" s="474"/>
      <c r="AU42" s="474"/>
      <c r="AV42" s="474"/>
      <c r="AW42" s="475"/>
      <c r="AX42" s="474"/>
      <c r="AY42" s="474"/>
      <c r="AZ42" s="474"/>
      <c r="BA42" s="475"/>
      <c r="BB42" s="474"/>
      <c r="BC42" s="474"/>
      <c r="BD42" s="474"/>
      <c r="BE42" s="475"/>
    </row>
    <row r="43" spans="1:57" s="18" customFormat="1" ht="30">
      <c r="A43" s="476" t="s">
        <v>723</v>
      </c>
      <c r="B43" s="194">
        <v>1120</v>
      </c>
      <c r="C43" s="194">
        <v>664316.12712287006</v>
      </c>
      <c r="D43" s="194">
        <v>227</v>
      </c>
      <c r="E43" s="194">
        <v>173440.80634450002</v>
      </c>
      <c r="F43" s="339">
        <f t="shared" ref="F43:I44" si="25">J43+N43+R43+V43+Z43+AD43+AH43+AL43+AP43+AT43+AX43+BB43</f>
        <v>571</v>
      </c>
      <c r="G43" s="339">
        <f t="shared" si="25"/>
        <v>280690.22081112477</v>
      </c>
      <c r="H43" s="339">
        <f t="shared" si="25"/>
        <v>89</v>
      </c>
      <c r="I43" s="339">
        <f t="shared" si="25"/>
        <v>48798.337026024004</v>
      </c>
      <c r="J43" s="339">
        <v>86</v>
      </c>
      <c r="K43" s="339">
        <v>25739.755809819999</v>
      </c>
      <c r="L43" s="339">
        <v>15</v>
      </c>
      <c r="M43" s="339">
        <v>4768.2442944240001</v>
      </c>
      <c r="N43" s="207">
        <v>112</v>
      </c>
      <c r="O43" s="207">
        <v>58075.972811163985</v>
      </c>
      <c r="P43" s="207">
        <v>11</v>
      </c>
      <c r="Q43" s="207">
        <v>3151.2303027000003</v>
      </c>
      <c r="R43" s="207">
        <v>105</v>
      </c>
      <c r="S43" s="207">
        <v>54569.274626990002</v>
      </c>
      <c r="T43" s="207">
        <v>26</v>
      </c>
      <c r="U43" s="207">
        <v>9727.8817677999996</v>
      </c>
      <c r="V43" s="263">
        <v>110</v>
      </c>
      <c r="W43" s="263">
        <v>73509.787569345004</v>
      </c>
      <c r="X43" s="263">
        <v>25</v>
      </c>
      <c r="Y43" s="263">
        <v>20534.6030565</v>
      </c>
      <c r="Z43" s="207">
        <v>158</v>
      </c>
      <c r="AA43" s="207">
        <v>68795.42999380581</v>
      </c>
      <c r="AB43" s="207">
        <v>12</v>
      </c>
      <c r="AC43" s="207">
        <v>10616.3776046</v>
      </c>
      <c r="AD43" s="207"/>
      <c r="AE43" s="207"/>
      <c r="AF43" s="207"/>
      <c r="AG43" s="207"/>
      <c r="AH43" s="207"/>
      <c r="AI43" s="207"/>
      <c r="AJ43" s="207"/>
      <c r="AK43" s="207"/>
      <c r="AL43" s="207"/>
      <c r="AM43" s="207"/>
      <c r="AN43" s="207"/>
      <c r="AO43" s="207"/>
      <c r="AP43" s="207"/>
      <c r="AQ43" s="207"/>
      <c r="AR43" s="207"/>
      <c r="AS43" s="207"/>
      <c r="AT43" s="207"/>
      <c r="AU43" s="207"/>
      <c r="AV43" s="207"/>
      <c r="AW43" s="207"/>
      <c r="AX43" s="207"/>
      <c r="AY43" s="207"/>
      <c r="AZ43" s="207"/>
      <c r="BA43" s="207"/>
      <c r="BB43" s="207"/>
      <c r="BC43" s="207"/>
      <c r="BD43" s="207"/>
      <c r="BE43" s="207"/>
    </row>
    <row r="44" spans="1:57" s="18" customFormat="1">
      <c r="A44" s="463" t="s">
        <v>724</v>
      </c>
      <c r="B44" s="194">
        <v>45</v>
      </c>
      <c r="C44" s="194">
        <v>19166.309999999998</v>
      </c>
      <c r="D44" s="194">
        <v>0</v>
      </c>
      <c r="E44" s="194">
        <v>0</v>
      </c>
      <c r="F44" s="194">
        <f t="shared" si="25"/>
        <v>16</v>
      </c>
      <c r="G44" s="194">
        <f t="shared" si="25"/>
        <v>3160.58</v>
      </c>
      <c r="H44" s="194">
        <f t="shared" si="25"/>
        <v>0</v>
      </c>
      <c r="I44" s="194">
        <f t="shared" si="25"/>
        <v>0</v>
      </c>
      <c r="J44" s="207">
        <v>4</v>
      </c>
      <c r="K44" s="207">
        <v>686.75</v>
      </c>
      <c r="L44" s="207">
        <v>0</v>
      </c>
      <c r="M44" s="207">
        <v>0</v>
      </c>
      <c r="N44" s="478">
        <v>3</v>
      </c>
      <c r="O44" s="478">
        <v>1206.96</v>
      </c>
      <c r="P44" s="207">
        <v>0</v>
      </c>
      <c r="Q44" s="207">
        <v>0</v>
      </c>
      <c r="R44" s="478">
        <v>3</v>
      </c>
      <c r="S44" s="478">
        <v>560.25</v>
      </c>
      <c r="T44" s="207">
        <v>0</v>
      </c>
      <c r="U44" s="207">
        <v>0</v>
      </c>
      <c r="V44" s="198">
        <v>2</v>
      </c>
      <c r="W44" s="40">
        <v>261.63</v>
      </c>
      <c r="X44" s="207">
        <v>0</v>
      </c>
      <c r="Y44" s="207">
        <v>0</v>
      </c>
      <c r="Z44" s="478">
        <v>4</v>
      </c>
      <c r="AA44" s="478">
        <v>444.99</v>
      </c>
      <c r="AB44" s="263">
        <v>0</v>
      </c>
      <c r="AC44" s="263">
        <v>0</v>
      </c>
      <c r="AD44" s="207"/>
      <c r="AE44" s="207"/>
      <c r="AF44" s="207"/>
      <c r="AG44" s="207"/>
      <c r="AH44" s="207"/>
      <c r="AI44" s="207"/>
      <c r="AJ44" s="207"/>
      <c r="AK44" s="207"/>
      <c r="AL44" s="207"/>
      <c r="AM44" s="207"/>
      <c r="AN44" s="207"/>
      <c r="AO44" s="207"/>
      <c r="AP44" s="252"/>
      <c r="AQ44" s="477"/>
      <c r="AR44" s="207"/>
      <c r="AS44" s="207"/>
      <c r="AT44" s="207"/>
      <c r="AU44" s="207"/>
      <c r="AV44" s="207"/>
      <c r="AW44" s="207"/>
      <c r="AX44" s="207"/>
      <c r="AY44" s="207"/>
      <c r="AZ44" s="207"/>
      <c r="BA44" s="207"/>
      <c r="BB44" s="478"/>
      <c r="BC44" s="479"/>
      <c r="BD44" s="207"/>
      <c r="BE44" s="207"/>
    </row>
    <row r="45" spans="1:57" s="18" customFormat="1">
      <c r="A45" s="464" t="s">
        <v>730</v>
      </c>
      <c r="B45" s="275">
        <f t="shared" ref="B45:AG45" si="26">B43+B44</f>
        <v>1165</v>
      </c>
      <c r="C45" s="275">
        <f t="shared" si="26"/>
        <v>683482.43712287</v>
      </c>
      <c r="D45" s="275">
        <f t="shared" si="26"/>
        <v>227</v>
      </c>
      <c r="E45" s="275">
        <f t="shared" si="26"/>
        <v>173440.80634450002</v>
      </c>
      <c r="F45" s="275">
        <f t="shared" si="26"/>
        <v>587</v>
      </c>
      <c r="G45" s="275">
        <f t="shared" si="26"/>
        <v>283850.80081112479</v>
      </c>
      <c r="H45" s="275">
        <f t="shared" si="26"/>
        <v>89</v>
      </c>
      <c r="I45" s="275">
        <f t="shared" si="26"/>
        <v>48798.337026024004</v>
      </c>
      <c r="J45" s="275">
        <f t="shared" si="26"/>
        <v>90</v>
      </c>
      <c r="K45" s="275">
        <f t="shared" si="26"/>
        <v>26426.505809819999</v>
      </c>
      <c r="L45" s="275">
        <f t="shared" si="26"/>
        <v>15</v>
      </c>
      <c r="M45" s="275">
        <f t="shared" si="26"/>
        <v>4768.2442944240001</v>
      </c>
      <c r="N45" s="275">
        <f t="shared" si="26"/>
        <v>115</v>
      </c>
      <c r="O45" s="275">
        <f t="shared" si="26"/>
        <v>59282.932811163984</v>
      </c>
      <c r="P45" s="275">
        <f t="shared" si="26"/>
        <v>11</v>
      </c>
      <c r="Q45" s="275">
        <f t="shared" si="26"/>
        <v>3151.2303027000003</v>
      </c>
      <c r="R45" s="275">
        <f t="shared" si="26"/>
        <v>108</v>
      </c>
      <c r="S45" s="275">
        <f t="shared" si="26"/>
        <v>55129.524626990002</v>
      </c>
      <c r="T45" s="275">
        <f t="shared" si="26"/>
        <v>26</v>
      </c>
      <c r="U45" s="275">
        <f t="shared" si="26"/>
        <v>9727.8817677999996</v>
      </c>
      <c r="V45" s="275">
        <f t="shared" si="26"/>
        <v>112</v>
      </c>
      <c r="W45" s="275">
        <f t="shared" si="26"/>
        <v>73771.417569345009</v>
      </c>
      <c r="X45" s="275">
        <f t="shared" si="26"/>
        <v>25</v>
      </c>
      <c r="Y45" s="275">
        <f t="shared" si="26"/>
        <v>20534.6030565</v>
      </c>
      <c r="Z45" s="275">
        <f t="shared" si="26"/>
        <v>162</v>
      </c>
      <c r="AA45" s="275">
        <f t="shared" si="26"/>
        <v>69240.419993805815</v>
      </c>
      <c r="AB45" s="275">
        <f t="shared" si="26"/>
        <v>12</v>
      </c>
      <c r="AC45" s="275">
        <f t="shared" si="26"/>
        <v>10616.3776046</v>
      </c>
      <c r="AD45" s="275">
        <f t="shared" si="26"/>
        <v>0</v>
      </c>
      <c r="AE45" s="275">
        <f t="shared" si="26"/>
        <v>0</v>
      </c>
      <c r="AF45" s="275">
        <f t="shared" si="26"/>
        <v>0</v>
      </c>
      <c r="AG45" s="275">
        <f t="shared" si="26"/>
        <v>0</v>
      </c>
      <c r="AH45" s="275">
        <f t="shared" ref="AH45:BE45" si="27">AH43+AH44</f>
        <v>0</v>
      </c>
      <c r="AI45" s="275">
        <f t="shared" si="27"/>
        <v>0</v>
      </c>
      <c r="AJ45" s="275">
        <f t="shared" si="27"/>
        <v>0</v>
      </c>
      <c r="AK45" s="275">
        <f t="shared" si="27"/>
        <v>0</v>
      </c>
      <c r="AL45" s="275">
        <f t="shared" si="27"/>
        <v>0</v>
      </c>
      <c r="AM45" s="275">
        <f t="shared" si="27"/>
        <v>0</v>
      </c>
      <c r="AN45" s="275">
        <f t="shared" si="27"/>
        <v>0</v>
      </c>
      <c r="AO45" s="275">
        <f t="shared" si="27"/>
        <v>0</v>
      </c>
      <c r="AP45" s="275">
        <f t="shared" si="27"/>
        <v>0</v>
      </c>
      <c r="AQ45" s="275">
        <f t="shared" si="27"/>
        <v>0</v>
      </c>
      <c r="AR45" s="275">
        <f t="shared" si="27"/>
        <v>0</v>
      </c>
      <c r="AS45" s="275">
        <f t="shared" si="27"/>
        <v>0</v>
      </c>
      <c r="AT45" s="275">
        <f t="shared" si="27"/>
        <v>0</v>
      </c>
      <c r="AU45" s="275">
        <f t="shared" si="27"/>
        <v>0</v>
      </c>
      <c r="AV45" s="275">
        <f t="shared" si="27"/>
        <v>0</v>
      </c>
      <c r="AW45" s="275">
        <f t="shared" si="27"/>
        <v>0</v>
      </c>
      <c r="AX45" s="275">
        <f t="shared" si="27"/>
        <v>0</v>
      </c>
      <c r="AY45" s="275">
        <f t="shared" si="27"/>
        <v>0</v>
      </c>
      <c r="AZ45" s="275">
        <f t="shared" si="27"/>
        <v>0</v>
      </c>
      <c r="BA45" s="275">
        <f t="shared" si="27"/>
        <v>0</v>
      </c>
      <c r="BB45" s="275">
        <f t="shared" si="27"/>
        <v>0</v>
      </c>
      <c r="BC45" s="275">
        <f t="shared" si="27"/>
        <v>0</v>
      </c>
      <c r="BD45" s="275">
        <f t="shared" si="27"/>
        <v>0</v>
      </c>
      <c r="BE45" s="275">
        <f t="shared" si="27"/>
        <v>0</v>
      </c>
    </row>
    <row r="46" spans="1:57" s="18" customFormat="1">
      <c r="A46" s="473" t="s">
        <v>671</v>
      </c>
      <c r="B46" s="403"/>
      <c r="C46" s="403"/>
      <c r="D46" s="403"/>
      <c r="E46" s="403"/>
      <c r="F46" s="474"/>
      <c r="G46" s="474"/>
      <c r="H46" s="474"/>
      <c r="I46" s="474"/>
      <c r="J46" s="474"/>
      <c r="K46" s="474"/>
      <c r="L46" s="474"/>
      <c r="M46" s="475"/>
      <c r="N46" s="474"/>
      <c r="O46" s="474"/>
      <c r="P46" s="474"/>
      <c r="Q46" s="475"/>
      <c r="R46" s="474"/>
      <c r="S46" s="474"/>
      <c r="T46" s="474"/>
      <c r="U46" s="475"/>
      <c r="V46" s="474"/>
      <c r="W46" s="474"/>
      <c r="X46" s="474"/>
      <c r="Y46" s="475"/>
      <c r="Z46" s="474"/>
      <c r="AA46" s="474"/>
      <c r="AB46" s="474"/>
      <c r="AC46" s="475"/>
      <c r="AD46" s="474"/>
      <c r="AE46" s="474"/>
      <c r="AF46" s="474"/>
      <c r="AG46" s="475"/>
      <c r="AH46" s="474"/>
      <c r="AI46" s="474"/>
      <c r="AJ46" s="474"/>
      <c r="AK46" s="475"/>
      <c r="AL46" s="474"/>
      <c r="AM46" s="474"/>
      <c r="AN46" s="474"/>
      <c r="AO46" s="475"/>
      <c r="AP46" s="474"/>
      <c r="AQ46" s="474"/>
      <c r="AR46" s="474"/>
      <c r="AS46" s="475"/>
      <c r="AT46" s="474"/>
      <c r="AU46" s="474"/>
      <c r="AV46" s="474"/>
      <c r="AW46" s="475"/>
      <c r="AX46" s="474"/>
      <c r="AY46" s="474"/>
      <c r="AZ46" s="474"/>
      <c r="BA46" s="475"/>
      <c r="BB46" s="474"/>
      <c r="BC46" s="474"/>
      <c r="BD46" s="474"/>
      <c r="BE46" s="475"/>
    </row>
    <row r="47" spans="1:57" s="18" customFormat="1">
      <c r="A47" s="465" t="s">
        <v>725</v>
      </c>
      <c r="B47" s="194">
        <v>0</v>
      </c>
      <c r="C47" s="194">
        <v>0</v>
      </c>
      <c r="D47" s="194">
        <v>3</v>
      </c>
      <c r="E47" s="194">
        <v>5905</v>
      </c>
      <c r="F47" s="194">
        <f t="shared" ref="F47:I48" si="28">J47+N47+R47+V47+Z47+AD47+AH47+AL47+AP47+AT47+AX47+BB47</f>
        <v>0</v>
      </c>
      <c r="G47" s="194">
        <f t="shared" si="28"/>
        <v>0</v>
      </c>
      <c r="H47" s="194">
        <f t="shared" si="28"/>
        <v>1</v>
      </c>
      <c r="I47" s="194">
        <f t="shared" si="28"/>
        <v>1228</v>
      </c>
      <c r="J47" s="207">
        <v>0</v>
      </c>
      <c r="K47" s="207">
        <v>0</v>
      </c>
      <c r="L47" s="207">
        <v>0</v>
      </c>
      <c r="M47" s="207">
        <v>0</v>
      </c>
      <c r="N47" s="207">
        <v>0</v>
      </c>
      <c r="O47" s="207">
        <v>0</v>
      </c>
      <c r="P47" s="207">
        <v>0</v>
      </c>
      <c r="Q47" s="207">
        <v>0</v>
      </c>
      <c r="R47" s="207">
        <v>0</v>
      </c>
      <c r="S47" s="207">
        <v>0</v>
      </c>
      <c r="T47" s="207">
        <v>1</v>
      </c>
      <c r="U47" s="207">
        <v>1228</v>
      </c>
      <c r="V47" s="207">
        <v>0</v>
      </c>
      <c r="W47" s="207">
        <v>0</v>
      </c>
      <c r="X47" s="207">
        <v>0</v>
      </c>
      <c r="Y47" s="207">
        <v>0</v>
      </c>
      <c r="Z47" s="207">
        <v>0</v>
      </c>
      <c r="AA47" s="207">
        <v>0</v>
      </c>
      <c r="AB47" s="207">
        <v>0</v>
      </c>
      <c r="AC47" s="207">
        <v>0</v>
      </c>
      <c r="AD47" s="207"/>
      <c r="AE47" s="207"/>
      <c r="AF47" s="207"/>
      <c r="AG47" s="207"/>
      <c r="AH47" s="207"/>
      <c r="AI47" s="207"/>
      <c r="AJ47" s="207"/>
      <c r="AK47" s="207"/>
      <c r="AL47" s="207"/>
      <c r="AM47" s="207"/>
      <c r="AN47" s="207"/>
      <c r="AO47" s="207"/>
      <c r="AP47" s="207"/>
      <c r="AQ47" s="207"/>
      <c r="AR47" s="207"/>
      <c r="AS47" s="207"/>
      <c r="AT47" s="207"/>
      <c r="AU47" s="207"/>
      <c r="AV47" s="207"/>
      <c r="AW47" s="207"/>
      <c r="AX47" s="207"/>
      <c r="AY47" s="207"/>
      <c r="AZ47" s="207"/>
      <c r="BA47" s="207"/>
      <c r="BB47" s="207"/>
      <c r="BC47" s="207"/>
      <c r="BD47" s="207"/>
      <c r="BE47" s="207"/>
    </row>
    <row r="48" spans="1:57" s="18" customFormat="1">
      <c r="A48" s="465" t="s">
        <v>726</v>
      </c>
      <c r="B48" s="194">
        <v>0</v>
      </c>
      <c r="C48" s="194">
        <v>0</v>
      </c>
      <c r="D48" s="194">
        <v>14</v>
      </c>
      <c r="E48" s="194">
        <v>33118.6</v>
      </c>
      <c r="F48" s="194">
        <f t="shared" si="28"/>
        <v>0</v>
      </c>
      <c r="G48" s="194">
        <f t="shared" si="28"/>
        <v>0</v>
      </c>
      <c r="H48" s="194">
        <f t="shared" si="28"/>
        <v>3</v>
      </c>
      <c r="I48" s="194">
        <f t="shared" si="28"/>
        <v>2022.97</v>
      </c>
      <c r="J48" s="207">
        <v>0</v>
      </c>
      <c r="K48" s="207">
        <v>0</v>
      </c>
      <c r="L48" s="207">
        <v>0</v>
      </c>
      <c r="M48" s="207">
        <v>0</v>
      </c>
      <c r="N48" s="207">
        <v>0</v>
      </c>
      <c r="O48" s="207">
        <v>0</v>
      </c>
      <c r="P48" s="207">
        <v>0</v>
      </c>
      <c r="Q48" s="207">
        <v>0</v>
      </c>
      <c r="R48" s="207"/>
      <c r="S48" s="207"/>
      <c r="T48" s="207">
        <v>1</v>
      </c>
      <c r="U48" s="207">
        <v>102.5</v>
      </c>
      <c r="V48" s="207">
        <v>0</v>
      </c>
      <c r="W48" s="207">
        <v>0</v>
      </c>
      <c r="X48" s="207">
        <v>1</v>
      </c>
      <c r="Y48" s="207">
        <v>1520</v>
      </c>
      <c r="Z48" s="207">
        <v>0</v>
      </c>
      <c r="AA48" s="207">
        <v>0</v>
      </c>
      <c r="AB48" s="479">
        <v>1</v>
      </c>
      <c r="AC48" s="479">
        <v>400.47</v>
      </c>
      <c r="AD48" s="207"/>
      <c r="AE48" s="207"/>
      <c r="AF48" s="479"/>
      <c r="AG48" s="479"/>
      <c r="AH48" s="207"/>
      <c r="AI48" s="207"/>
      <c r="AJ48" s="479"/>
      <c r="AK48" s="479"/>
      <c r="AL48" s="207"/>
      <c r="AM48" s="207"/>
      <c r="AN48" s="479"/>
      <c r="AO48" s="479"/>
      <c r="AP48" s="207"/>
      <c r="AQ48" s="207"/>
      <c r="AR48" s="479"/>
      <c r="AS48" s="479"/>
      <c r="AT48" s="207"/>
      <c r="AU48" s="207"/>
      <c r="AV48" s="479"/>
      <c r="AW48" s="479"/>
      <c r="AX48" s="207"/>
      <c r="AY48" s="207"/>
      <c r="AZ48" s="207"/>
      <c r="BA48" s="207"/>
      <c r="BB48" s="207"/>
      <c r="BC48" s="207"/>
      <c r="BD48" s="207"/>
      <c r="BE48" s="207"/>
    </row>
    <row r="49" spans="1:57" s="18" customFormat="1">
      <c r="A49" s="464" t="s">
        <v>729</v>
      </c>
      <c r="B49" s="276">
        <f t="shared" ref="B49:K49" si="29">SUM(B47:B48)</f>
        <v>0</v>
      </c>
      <c r="C49" s="276">
        <f t="shared" si="29"/>
        <v>0</v>
      </c>
      <c r="D49" s="276">
        <f t="shared" si="29"/>
        <v>17</v>
      </c>
      <c r="E49" s="276">
        <f t="shared" si="29"/>
        <v>39023.599999999999</v>
      </c>
      <c r="F49" s="276">
        <f t="shared" si="29"/>
        <v>0</v>
      </c>
      <c r="G49" s="276">
        <f t="shared" si="29"/>
        <v>0</v>
      </c>
      <c r="H49" s="276">
        <f t="shared" si="29"/>
        <v>4</v>
      </c>
      <c r="I49" s="276">
        <f t="shared" si="29"/>
        <v>3250.9700000000003</v>
      </c>
      <c r="J49" s="275">
        <f t="shared" si="29"/>
        <v>0</v>
      </c>
      <c r="K49" s="275">
        <f t="shared" si="29"/>
        <v>0</v>
      </c>
      <c r="L49" s="275">
        <f t="shared" ref="L49:BE49" si="30">SUM(L47:L48)</f>
        <v>0</v>
      </c>
      <c r="M49" s="275">
        <f t="shared" si="30"/>
        <v>0</v>
      </c>
      <c r="N49" s="275">
        <f t="shared" si="30"/>
        <v>0</v>
      </c>
      <c r="O49" s="275">
        <f t="shared" si="30"/>
        <v>0</v>
      </c>
      <c r="P49" s="275">
        <f t="shared" si="30"/>
        <v>0</v>
      </c>
      <c r="Q49" s="275">
        <f t="shared" si="30"/>
        <v>0</v>
      </c>
      <c r="R49" s="275">
        <f t="shared" si="30"/>
        <v>0</v>
      </c>
      <c r="S49" s="275">
        <f t="shared" si="30"/>
        <v>0</v>
      </c>
      <c r="T49" s="275">
        <f t="shared" si="30"/>
        <v>2</v>
      </c>
      <c r="U49" s="275">
        <f t="shared" si="30"/>
        <v>1330.5</v>
      </c>
      <c r="V49" s="275">
        <f t="shared" si="30"/>
        <v>0</v>
      </c>
      <c r="W49" s="275">
        <f t="shared" si="30"/>
        <v>0</v>
      </c>
      <c r="X49" s="275">
        <f t="shared" si="30"/>
        <v>1</v>
      </c>
      <c r="Y49" s="275">
        <f t="shared" si="30"/>
        <v>1520</v>
      </c>
      <c r="Z49" s="275">
        <f t="shared" si="30"/>
        <v>0</v>
      </c>
      <c r="AA49" s="275">
        <f t="shared" si="30"/>
        <v>0</v>
      </c>
      <c r="AB49" s="275">
        <f t="shared" si="30"/>
        <v>1</v>
      </c>
      <c r="AC49" s="275">
        <f t="shared" si="30"/>
        <v>400.47</v>
      </c>
      <c r="AD49" s="275">
        <f t="shared" si="30"/>
        <v>0</v>
      </c>
      <c r="AE49" s="275">
        <f t="shared" si="30"/>
        <v>0</v>
      </c>
      <c r="AF49" s="275">
        <f t="shared" si="30"/>
        <v>0</v>
      </c>
      <c r="AG49" s="275">
        <f t="shared" si="30"/>
        <v>0</v>
      </c>
      <c r="AH49" s="275">
        <f t="shared" si="30"/>
        <v>0</v>
      </c>
      <c r="AI49" s="275">
        <f t="shared" si="30"/>
        <v>0</v>
      </c>
      <c r="AJ49" s="275">
        <f t="shared" si="30"/>
        <v>0</v>
      </c>
      <c r="AK49" s="275">
        <f t="shared" si="30"/>
        <v>0</v>
      </c>
      <c r="AL49" s="275">
        <f t="shared" si="30"/>
        <v>0</v>
      </c>
      <c r="AM49" s="275">
        <f t="shared" si="30"/>
        <v>0</v>
      </c>
      <c r="AN49" s="275">
        <f t="shared" si="30"/>
        <v>0</v>
      </c>
      <c r="AO49" s="275">
        <f t="shared" si="30"/>
        <v>0</v>
      </c>
      <c r="AP49" s="275">
        <f t="shared" si="30"/>
        <v>0</v>
      </c>
      <c r="AQ49" s="275">
        <f t="shared" si="30"/>
        <v>0</v>
      </c>
      <c r="AR49" s="275">
        <f t="shared" si="30"/>
        <v>0</v>
      </c>
      <c r="AS49" s="275">
        <f t="shared" si="30"/>
        <v>0</v>
      </c>
      <c r="AT49" s="275">
        <f t="shared" si="30"/>
        <v>0</v>
      </c>
      <c r="AU49" s="275">
        <f t="shared" si="30"/>
        <v>0</v>
      </c>
      <c r="AV49" s="275">
        <f t="shared" si="30"/>
        <v>0</v>
      </c>
      <c r="AW49" s="275">
        <f t="shared" si="30"/>
        <v>0</v>
      </c>
      <c r="AX49" s="275">
        <f t="shared" si="30"/>
        <v>0</v>
      </c>
      <c r="AY49" s="275">
        <f t="shared" si="30"/>
        <v>0</v>
      </c>
      <c r="AZ49" s="275">
        <f t="shared" si="30"/>
        <v>0</v>
      </c>
      <c r="BA49" s="275">
        <f t="shared" si="30"/>
        <v>0</v>
      </c>
      <c r="BB49" s="275">
        <f t="shared" si="30"/>
        <v>0</v>
      </c>
      <c r="BC49" s="275">
        <f t="shared" si="30"/>
        <v>0</v>
      </c>
      <c r="BD49" s="275">
        <f t="shared" si="30"/>
        <v>0</v>
      </c>
      <c r="BE49" s="275">
        <f t="shared" si="30"/>
        <v>0</v>
      </c>
    </row>
    <row r="50" spans="1:57">
      <c r="A50" s="1234" t="s">
        <v>81</v>
      </c>
      <c r="B50" s="1234"/>
      <c r="C50" s="1234"/>
      <c r="D50" s="1234"/>
      <c r="E50" s="1234"/>
      <c r="F50" s="1234"/>
      <c r="G50" s="1234"/>
      <c r="H50" s="1234"/>
      <c r="I50" s="1234"/>
      <c r="J50" s="1234"/>
      <c r="K50" s="1234"/>
      <c r="L50" s="1234"/>
      <c r="M50" s="1234"/>
      <c r="N50" s="336"/>
      <c r="O50" s="336"/>
      <c r="AC50" s="21"/>
    </row>
    <row r="51" spans="1:57">
      <c r="A51" s="447" t="s">
        <v>736</v>
      </c>
      <c r="B51" s="447"/>
      <c r="C51" s="447"/>
      <c r="D51" s="447"/>
      <c r="E51" s="447"/>
      <c r="F51" s="447"/>
      <c r="G51" s="543"/>
      <c r="H51" s="447"/>
      <c r="I51" s="447"/>
      <c r="J51" s="447"/>
      <c r="K51" s="447"/>
      <c r="L51" s="447"/>
      <c r="M51" s="447"/>
      <c r="N51" s="336"/>
      <c r="O51" s="336"/>
      <c r="Y51" s="21"/>
      <c r="AB51" s="21"/>
      <c r="AC51" s="21"/>
    </row>
    <row r="52" spans="1:57">
      <c r="A52" s="447" t="s">
        <v>737</v>
      </c>
      <c r="B52" s="447"/>
      <c r="C52" s="447"/>
      <c r="D52" s="447"/>
      <c r="E52" s="447"/>
      <c r="F52" s="447"/>
      <c r="G52" s="447"/>
      <c r="H52" s="447"/>
      <c r="I52" s="447"/>
      <c r="J52" s="447"/>
      <c r="K52" s="447"/>
      <c r="L52" s="447"/>
      <c r="M52" s="447"/>
      <c r="N52" s="336"/>
      <c r="O52" s="336"/>
      <c r="Y52" s="21"/>
      <c r="AC52" s="21"/>
    </row>
    <row r="53" spans="1:57">
      <c r="A53" s="336" t="s">
        <v>727</v>
      </c>
      <c r="B53" s="336"/>
      <c r="C53" s="336"/>
      <c r="D53" s="336"/>
      <c r="E53" s="336"/>
      <c r="F53" s="336"/>
      <c r="G53" s="336"/>
      <c r="H53" s="336"/>
      <c r="I53" s="336"/>
      <c r="J53" s="336"/>
      <c r="K53" s="336"/>
      <c r="L53" s="336"/>
      <c r="M53" s="336"/>
      <c r="N53" s="336"/>
      <c r="O53" s="336"/>
    </row>
    <row r="54" spans="1:57">
      <c r="A54" s="336" t="s">
        <v>728</v>
      </c>
      <c r="B54" s="336"/>
      <c r="C54" s="336"/>
      <c r="D54" s="336"/>
      <c r="E54" s="336"/>
      <c r="F54" s="336"/>
      <c r="G54" s="336"/>
      <c r="H54" s="336"/>
      <c r="I54" s="336"/>
      <c r="J54" s="336"/>
      <c r="K54" s="336"/>
      <c r="L54" s="336"/>
      <c r="M54" s="336"/>
      <c r="N54" s="336"/>
      <c r="O54" s="336"/>
    </row>
    <row r="55" spans="1:57">
      <c r="A55" s="336" t="s">
        <v>682</v>
      </c>
      <c r="B55" s="336"/>
      <c r="C55" s="336"/>
      <c r="D55" s="336"/>
      <c r="E55" s="336"/>
      <c r="F55" s="336"/>
      <c r="G55" s="336"/>
      <c r="H55" s="336"/>
      <c r="I55" s="336"/>
      <c r="J55" s="336"/>
      <c r="K55" s="336"/>
      <c r="L55" s="336"/>
      <c r="M55" s="336"/>
      <c r="N55" s="336"/>
      <c r="O55" s="336"/>
    </row>
    <row r="56" spans="1:57">
      <c r="A56" s="258" t="s">
        <v>130</v>
      </c>
      <c r="B56" s="336"/>
      <c r="C56" s="336"/>
      <c r="D56" s="336"/>
      <c r="E56" s="336"/>
      <c r="F56" s="336"/>
      <c r="G56" s="336"/>
      <c r="H56" s="336"/>
      <c r="I56" s="336"/>
      <c r="J56" s="336"/>
      <c r="K56" s="336"/>
      <c r="L56" s="336"/>
      <c r="M56" s="336"/>
      <c r="N56" s="336"/>
      <c r="O56" s="336"/>
    </row>
    <row r="57" spans="1:57">
      <c r="A57" s="336"/>
      <c r="B57" s="336"/>
      <c r="C57" s="336"/>
      <c r="D57" s="336"/>
      <c r="E57" s="336"/>
      <c r="F57" s="336"/>
      <c r="G57" s="336"/>
      <c r="H57" s="336"/>
      <c r="I57" s="336"/>
      <c r="J57" s="336"/>
      <c r="K57" s="336"/>
      <c r="L57" s="336"/>
      <c r="M57" s="336"/>
      <c r="N57" s="336"/>
      <c r="O57" s="336"/>
    </row>
    <row r="63" spans="1:57">
      <c r="Q63" s="39"/>
      <c r="R63" s="39"/>
      <c r="S63" s="39"/>
      <c r="T63" s="39"/>
      <c r="U63" s="39"/>
      <c r="V63" s="480"/>
      <c r="X63" s="480"/>
      <c r="Z63" s="480"/>
    </row>
    <row r="64" spans="1:57">
      <c r="P64" s="39"/>
      <c r="Q64" s="39"/>
      <c r="R64" s="39"/>
      <c r="S64" s="39"/>
      <c r="T64" s="39"/>
      <c r="U64" s="39"/>
      <c r="V64" s="480"/>
      <c r="X64" s="480"/>
      <c r="Z64" s="480"/>
    </row>
    <row r="65" spans="17:26">
      <c r="Q65" s="39"/>
      <c r="R65" s="39"/>
      <c r="S65" s="39"/>
      <c r="T65" s="39"/>
      <c r="U65" s="39"/>
      <c r="V65" s="480"/>
      <c r="X65" s="480"/>
      <c r="Z65" s="480"/>
    </row>
    <row r="66" spans="17:26">
      <c r="Q66" s="39"/>
      <c r="R66" s="39"/>
      <c r="S66" s="39"/>
      <c r="T66" s="39"/>
      <c r="U66" s="39"/>
      <c r="V66" s="480"/>
      <c r="X66" s="480"/>
      <c r="Z66" s="480"/>
    </row>
    <row r="67" spans="17:26">
      <c r="Q67" s="39"/>
      <c r="R67" s="39"/>
      <c r="S67" s="39"/>
      <c r="T67" s="39"/>
      <c r="U67" s="39"/>
      <c r="V67" s="480"/>
      <c r="X67" s="480"/>
      <c r="Z67" s="480"/>
    </row>
    <row r="68" spans="17:26">
      <c r="Q68" s="39"/>
      <c r="R68" s="39"/>
      <c r="S68" s="39"/>
      <c r="T68" s="39"/>
      <c r="U68" s="39"/>
      <c r="V68" s="480"/>
      <c r="X68" s="480"/>
      <c r="Z68" s="480"/>
    </row>
    <row r="69" spans="17:26">
      <c r="Q69" s="39"/>
      <c r="R69" s="39"/>
      <c r="S69" s="39"/>
      <c r="T69" s="39"/>
      <c r="U69" s="39"/>
      <c r="V69" s="480"/>
      <c r="X69" s="480"/>
      <c r="Z69" s="480"/>
    </row>
    <row r="70" spans="17:26">
      <c r="Q70" s="39"/>
      <c r="R70" s="39"/>
      <c r="S70" s="39"/>
      <c r="T70" s="39"/>
      <c r="U70" s="39"/>
      <c r="V70" s="480"/>
      <c r="X70" s="480"/>
      <c r="Z70" s="480"/>
    </row>
    <row r="71" spans="17:26">
      <c r="Q71" s="39"/>
      <c r="R71" s="39"/>
      <c r="S71" s="39"/>
      <c r="T71" s="39"/>
      <c r="U71" s="39"/>
      <c r="V71" s="480"/>
      <c r="X71" s="480"/>
      <c r="Z71" s="480"/>
    </row>
    <row r="72" spans="17:26">
      <c r="Q72" s="39"/>
      <c r="R72" s="39"/>
      <c r="S72" s="39"/>
      <c r="T72" s="39"/>
      <c r="U72" s="39"/>
      <c r="V72" s="480"/>
      <c r="X72" s="480"/>
      <c r="Z72" s="480"/>
    </row>
    <row r="73" spans="17:26">
      <c r="Q73" s="39"/>
      <c r="R73" s="39"/>
      <c r="S73" s="39"/>
      <c r="T73" s="39"/>
      <c r="U73" s="39"/>
      <c r="V73" s="480"/>
      <c r="X73" s="480"/>
      <c r="Z73" s="480"/>
    </row>
    <row r="74" spans="17:26">
      <c r="Q74" s="39"/>
      <c r="R74" s="39"/>
      <c r="S74" s="39"/>
      <c r="T74" s="39"/>
      <c r="U74" s="39"/>
      <c r="V74" s="480"/>
      <c r="X74" s="480"/>
      <c r="Z74" s="480"/>
    </row>
    <row r="75" spans="17:26">
      <c r="Q75" s="39"/>
      <c r="R75" s="39"/>
      <c r="S75" s="39"/>
      <c r="T75" s="39"/>
      <c r="U75" s="39"/>
      <c r="V75" s="480"/>
      <c r="X75" s="480"/>
      <c r="Z75" s="480"/>
    </row>
    <row r="76" spans="17:26">
      <c r="Q76" s="39"/>
      <c r="R76" s="39"/>
      <c r="S76" s="39"/>
      <c r="T76" s="39"/>
      <c r="U76" s="39"/>
      <c r="V76" s="480"/>
      <c r="X76" s="480"/>
      <c r="Z76" s="480"/>
    </row>
    <row r="77" spans="17:26">
      <c r="Q77" s="39"/>
      <c r="R77" s="39"/>
      <c r="S77" s="39"/>
      <c r="T77" s="39"/>
      <c r="U77" s="39"/>
      <c r="V77" s="480"/>
      <c r="X77" s="480"/>
      <c r="Z77" s="480"/>
    </row>
    <row r="78" spans="17:26">
      <c r="Q78" s="39"/>
      <c r="R78" s="39"/>
      <c r="S78" s="39"/>
      <c r="T78" s="39"/>
      <c r="U78" s="39"/>
      <c r="V78" s="480"/>
      <c r="X78" s="480"/>
      <c r="Z78" s="480"/>
    </row>
    <row r="79" spans="17:26">
      <c r="R79" s="39"/>
      <c r="S79" s="39"/>
      <c r="T79" s="39"/>
      <c r="U79" s="39"/>
      <c r="V79" s="480"/>
      <c r="X79" s="480"/>
      <c r="Z79" s="480"/>
    </row>
    <row r="80" spans="17:26">
      <c r="R80" s="39"/>
      <c r="S80" s="39"/>
      <c r="T80" s="39"/>
      <c r="U80" s="39"/>
      <c r="V80" s="480"/>
      <c r="X80" s="480"/>
      <c r="Z80" s="480"/>
    </row>
    <row r="81" spans="1:26">
      <c r="R81" s="39"/>
      <c r="S81" s="39"/>
      <c r="T81" s="39"/>
      <c r="U81" s="39"/>
      <c r="V81" s="480"/>
      <c r="X81" s="480"/>
      <c r="Z81" s="480"/>
    </row>
    <row r="82" spans="1:26">
      <c r="R82" s="39"/>
      <c r="S82" s="39"/>
      <c r="T82" s="39"/>
      <c r="U82" s="39"/>
      <c r="V82" s="480"/>
      <c r="X82" s="480"/>
      <c r="Z82" s="480"/>
    </row>
    <row r="83" spans="1:26" ht="15.75">
      <c r="A83" s="43"/>
      <c r="B83" s="43"/>
      <c r="C83" s="43"/>
      <c r="D83" s="43"/>
      <c r="E83" s="43"/>
      <c r="F83" s="44"/>
      <c r="G83" s="44"/>
      <c r="H83" s="45"/>
      <c r="I83" s="46"/>
      <c r="K83" s="46"/>
      <c r="L83" s="46"/>
      <c r="M83" s="46"/>
      <c r="R83" s="39"/>
      <c r="S83" s="39"/>
      <c r="T83" s="39"/>
      <c r="U83" s="39"/>
      <c r="V83" s="480"/>
      <c r="X83" s="480"/>
      <c r="Z83" s="480"/>
    </row>
    <row r="84" spans="1:26">
      <c r="A84" s="47"/>
      <c r="B84" s="47"/>
      <c r="C84" s="47"/>
      <c r="D84" s="47"/>
      <c r="E84" s="47"/>
      <c r="F84" s="48"/>
      <c r="G84" s="48"/>
      <c r="H84" s="165"/>
      <c r="I84" s="165"/>
      <c r="K84" s="49"/>
      <c r="L84" s="49"/>
      <c r="M84" s="49"/>
    </row>
    <row r="85" spans="1:26">
      <c r="A85" s="47"/>
      <c r="B85" s="47"/>
      <c r="C85" s="47"/>
      <c r="D85" s="47"/>
      <c r="E85" s="47"/>
      <c r="F85" s="48"/>
      <c r="G85" s="48"/>
      <c r="H85" s="48"/>
      <c r="I85" s="48"/>
      <c r="K85" s="48"/>
      <c r="L85" s="48"/>
      <c r="M85" s="48"/>
    </row>
    <row r="86" spans="1:26">
      <c r="A86" s="47"/>
      <c r="B86" s="47"/>
      <c r="C86" s="47"/>
      <c r="D86" s="47"/>
      <c r="E86" s="47"/>
      <c r="F86" s="48"/>
      <c r="G86" s="48"/>
      <c r="H86" s="48"/>
      <c r="I86" s="48"/>
      <c r="K86" s="48"/>
      <c r="L86" s="48"/>
      <c r="M86" s="48"/>
      <c r="N86" s="50"/>
      <c r="O86" s="51"/>
    </row>
    <row r="90" spans="1:26">
      <c r="P90" s="39"/>
      <c r="Q90" s="39"/>
    </row>
    <row r="93" spans="1:26">
      <c r="F93" s="39"/>
      <c r="G93" s="39"/>
      <c r="H93" s="39"/>
      <c r="I93" s="39"/>
      <c r="J93" s="39"/>
      <c r="K93" s="39"/>
      <c r="L93" s="39"/>
      <c r="M93" s="39"/>
      <c r="N93" s="39"/>
      <c r="O93" s="39"/>
    </row>
    <row r="94" spans="1:26">
      <c r="F94" s="39"/>
      <c r="G94" s="39"/>
      <c r="H94" s="39"/>
      <c r="I94" s="39"/>
      <c r="J94" s="39"/>
      <c r="K94" s="39"/>
      <c r="L94" s="39"/>
      <c r="M94" s="39"/>
      <c r="N94" s="39"/>
      <c r="O94" s="39"/>
    </row>
    <row r="100" spans="14:14">
      <c r="N100" s="52"/>
    </row>
  </sheetData>
  <mergeCells count="45">
    <mergeCell ref="N2:Q2"/>
    <mergeCell ref="N3:O3"/>
    <mergeCell ref="P3:Q3"/>
    <mergeCell ref="A1:I1"/>
    <mergeCell ref="A2:A4"/>
    <mergeCell ref="B2:E2"/>
    <mergeCell ref="F2:I2"/>
    <mergeCell ref="J2:M2"/>
    <mergeCell ref="AP2:AS2"/>
    <mergeCell ref="AT2:AW2"/>
    <mergeCell ref="AX2:BA2"/>
    <mergeCell ref="BB2:BE2"/>
    <mergeCell ref="B3:C3"/>
    <mergeCell ref="D3:E3"/>
    <mergeCell ref="F3:G3"/>
    <mergeCell ref="H3:I3"/>
    <mergeCell ref="J3:K3"/>
    <mergeCell ref="L3:M3"/>
    <mergeCell ref="R2:U2"/>
    <mergeCell ref="V2:Y2"/>
    <mergeCell ref="Z2:AC2"/>
    <mergeCell ref="AD2:AG2"/>
    <mergeCell ref="AH2:AK2"/>
    <mergeCell ref="AL2:AO2"/>
    <mergeCell ref="T3:U3"/>
    <mergeCell ref="V3:W3"/>
    <mergeCell ref="X3:Y3"/>
    <mergeCell ref="Z3:AA3"/>
    <mergeCell ref="AB3:AC3"/>
    <mergeCell ref="BB3:BC3"/>
    <mergeCell ref="BD3:BE3"/>
    <mergeCell ref="A50:M50"/>
    <mergeCell ref="AP3:AQ3"/>
    <mergeCell ref="AR3:AS3"/>
    <mergeCell ref="AT3:AU3"/>
    <mergeCell ref="AV3:AW3"/>
    <mergeCell ref="AX3:AY3"/>
    <mergeCell ref="AZ3:BA3"/>
    <mergeCell ref="AD3:AE3"/>
    <mergeCell ref="AF3:AG3"/>
    <mergeCell ref="AH3:AI3"/>
    <mergeCell ref="AJ3:AK3"/>
    <mergeCell ref="AL3:AM3"/>
    <mergeCell ref="AN3:AO3"/>
    <mergeCell ref="R3:S3"/>
  </mergeCells>
  <printOptions horizontalCentered="1"/>
  <pageMargins left="0.7" right="0.7" top="0.75" bottom="0.75" header="0.3" footer="0.3"/>
  <pageSetup paperSize="9" scale="58" fitToWidth="0"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pageSetUpPr fitToPage="1"/>
  </sheetPr>
  <dimension ref="A1:R24"/>
  <sheetViews>
    <sheetView workbookViewId="0">
      <selection sqref="A1:O1"/>
    </sheetView>
  </sheetViews>
  <sheetFormatPr defaultRowHeight="15"/>
  <sheetData>
    <row r="1" spans="1:18">
      <c r="A1" s="1245" t="s">
        <v>839</v>
      </c>
      <c r="B1" s="1245"/>
      <c r="C1" s="1245"/>
      <c r="D1" s="1245"/>
      <c r="E1" s="1245"/>
      <c r="F1" s="1245"/>
      <c r="G1" s="1245"/>
      <c r="H1" s="1245"/>
      <c r="I1" s="1245"/>
      <c r="J1" s="1245"/>
      <c r="K1" s="1245"/>
      <c r="L1" s="1245"/>
      <c r="M1" s="1245"/>
      <c r="N1" s="1245"/>
      <c r="O1" s="1245"/>
    </row>
    <row r="2" spans="1:18" ht="15" customHeight="1">
      <c r="A2" s="1254" t="s">
        <v>116</v>
      </c>
      <c r="B2" s="1250" t="s">
        <v>137</v>
      </c>
      <c r="C2" s="1251"/>
      <c r="D2" s="1256" t="s">
        <v>631</v>
      </c>
      <c r="E2" s="1257"/>
      <c r="F2" s="1257"/>
      <c r="G2" s="1257"/>
      <c r="H2" s="1257"/>
      <c r="I2" s="1257"/>
      <c r="J2" s="1257"/>
      <c r="K2" s="1257"/>
      <c r="L2" s="1257"/>
      <c r="M2" s="1258"/>
      <c r="N2" s="1259" t="s">
        <v>140</v>
      </c>
      <c r="O2" s="1260"/>
    </row>
    <row r="3" spans="1:18">
      <c r="A3" s="1255"/>
      <c r="B3" s="1252"/>
      <c r="C3" s="1253"/>
      <c r="D3" s="1248" t="s">
        <v>718</v>
      </c>
      <c r="E3" s="1249"/>
      <c r="F3" s="1243" t="s">
        <v>717</v>
      </c>
      <c r="G3" s="1244"/>
      <c r="H3" s="1243" t="s">
        <v>719</v>
      </c>
      <c r="I3" s="1244"/>
      <c r="J3" s="1248" t="s">
        <v>102</v>
      </c>
      <c r="K3" s="1249"/>
      <c r="L3" s="1248" t="s">
        <v>716</v>
      </c>
      <c r="M3" s="1249"/>
      <c r="N3" s="1248" t="s">
        <v>714</v>
      </c>
      <c r="O3" s="1249"/>
    </row>
    <row r="4" spans="1:18" ht="30">
      <c r="A4" s="1252"/>
      <c r="B4" s="53" t="s">
        <v>141</v>
      </c>
      <c r="C4" s="53" t="s">
        <v>1411</v>
      </c>
      <c r="D4" s="53" t="s">
        <v>141</v>
      </c>
      <c r="E4" s="53" t="s">
        <v>1411</v>
      </c>
      <c r="F4" s="53" t="s">
        <v>141</v>
      </c>
      <c r="G4" s="53" t="s">
        <v>1411</v>
      </c>
      <c r="H4" s="53" t="s">
        <v>141</v>
      </c>
      <c r="I4" s="53" t="s">
        <v>1411</v>
      </c>
      <c r="J4" s="53" t="s">
        <v>141</v>
      </c>
      <c r="K4" s="53" t="s">
        <v>1411</v>
      </c>
      <c r="L4" s="53" t="s">
        <v>141</v>
      </c>
      <c r="M4" s="53" t="s">
        <v>1411</v>
      </c>
      <c r="N4" s="53" t="s">
        <v>141</v>
      </c>
      <c r="O4" s="53" t="s">
        <v>1411</v>
      </c>
    </row>
    <row r="5" spans="1:18">
      <c r="A5" s="422" t="s">
        <v>518</v>
      </c>
      <c r="B5" s="351">
        <v>385</v>
      </c>
      <c r="C5" s="351">
        <v>102259.41623999999</v>
      </c>
      <c r="D5" s="351">
        <v>76</v>
      </c>
      <c r="E5" s="351">
        <v>61859.847318499997</v>
      </c>
      <c r="F5" s="351">
        <v>196</v>
      </c>
      <c r="G5" s="351">
        <v>6095.4649200000003</v>
      </c>
      <c r="H5" s="352">
        <v>272</v>
      </c>
      <c r="I5" s="352">
        <v>67955.312238500002</v>
      </c>
      <c r="J5" s="38">
        <v>67</v>
      </c>
      <c r="K5" s="38">
        <v>15110.204001500002</v>
      </c>
      <c r="L5" s="38">
        <v>1</v>
      </c>
      <c r="M5" s="38">
        <v>27</v>
      </c>
      <c r="N5" s="38">
        <v>45</v>
      </c>
      <c r="O5" s="38">
        <v>19166.899999999998</v>
      </c>
      <c r="Q5" s="529"/>
      <c r="R5" s="529"/>
    </row>
    <row r="6" spans="1:18">
      <c r="A6" s="423" t="s">
        <v>743</v>
      </c>
      <c r="B6" s="244">
        <f t="shared" ref="B6:G6" si="0">SUM(B7:B18)</f>
        <v>211</v>
      </c>
      <c r="C6" s="244">
        <f t="shared" si="0"/>
        <v>72201.691991706</v>
      </c>
      <c r="D6" s="244">
        <f t="shared" si="0"/>
        <v>26</v>
      </c>
      <c r="E6" s="244">
        <f t="shared" si="0"/>
        <v>36196.585133300003</v>
      </c>
      <c r="F6" s="244">
        <f t="shared" si="0"/>
        <v>110</v>
      </c>
      <c r="G6" s="244">
        <f t="shared" si="0"/>
        <v>3708.4875400000005</v>
      </c>
      <c r="H6" s="244">
        <f>D6+F6</f>
        <v>136</v>
      </c>
      <c r="I6" s="244">
        <f t="shared" ref="H6:I8" si="1">E6+G6</f>
        <v>39905.072673300005</v>
      </c>
      <c r="J6" s="243">
        <f t="shared" ref="J6:O6" si="2">SUM(J7:J18)</f>
        <v>57</v>
      </c>
      <c r="K6" s="243">
        <f t="shared" si="2"/>
        <v>10986.049319106</v>
      </c>
      <c r="L6" s="243">
        <f t="shared" si="2"/>
        <v>2</v>
      </c>
      <c r="M6" s="243">
        <f t="shared" si="2"/>
        <v>18149.9899993</v>
      </c>
      <c r="N6" s="243">
        <f t="shared" si="2"/>
        <v>16</v>
      </c>
      <c r="O6" s="243">
        <f t="shared" si="2"/>
        <v>3160.58</v>
      </c>
      <c r="Q6" s="529"/>
      <c r="R6" s="529"/>
    </row>
    <row r="7" spans="1:18">
      <c r="A7" s="174">
        <v>45412</v>
      </c>
      <c r="B7" s="40">
        <f t="shared" ref="B7:C11" si="3">H7+J7+L7+N7</f>
        <v>39</v>
      </c>
      <c r="C7" s="40">
        <f t="shared" si="3"/>
        <v>26057.3168319</v>
      </c>
      <c r="D7" s="40">
        <v>3</v>
      </c>
      <c r="E7" s="40">
        <v>5054.67</v>
      </c>
      <c r="F7" s="40">
        <v>23</v>
      </c>
      <c r="G7" s="40">
        <v>672.70851999999991</v>
      </c>
      <c r="H7" s="40">
        <f t="shared" si="1"/>
        <v>26</v>
      </c>
      <c r="I7" s="40">
        <f t="shared" si="1"/>
        <v>5727.3785200000002</v>
      </c>
      <c r="J7" s="40">
        <v>8</v>
      </c>
      <c r="K7" s="40">
        <v>1643.1883126000002</v>
      </c>
      <c r="L7" s="40">
        <v>1</v>
      </c>
      <c r="M7" s="40">
        <v>17999.999999299998</v>
      </c>
      <c r="N7" s="40">
        <v>4</v>
      </c>
      <c r="O7" s="40">
        <v>686.75</v>
      </c>
    </row>
    <row r="8" spans="1:18">
      <c r="A8" s="174">
        <v>45443</v>
      </c>
      <c r="B8" s="40">
        <f t="shared" si="3"/>
        <v>41</v>
      </c>
      <c r="C8" s="40">
        <f t="shared" si="3"/>
        <v>13495.5434728</v>
      </c>
      <c r="D8" s="40">
        <v>5</v>
      </c>
      <c r="E8" s="40">
        <v>9606.130443</v>
      </c>
      <c r="F8" s="40">
        <v>21</v>
      </c>
      <c r="G8" s="40">
        <v>527.21852000000001</v>
      </c>
      <c r="H8" s="40">
        <f t="shared" si="1"/>
        <v>26</v>
      </c>
      <c r="I8" s="40">
        <f t="shared" si="1"/>
        <v>10133.348963</v>
      </c>
      <c r="J8" s="40">
        <v>12</v>
      </c>
      <c r="K8" s="40">
        <v>2155.2345098000001</v>
      </c>
      <c r="L8" s="40">
        <v>0</v>
      </c>
      <c r="M8" s="40">
        <v>0</v>
      </c>
      <c r="N8" s="40">
        <v>3</v>
      </c>
      <c r="O8" s="40">
        <v>1206.96</v>
      </c>
    </row>
    <row r="9" spans="1:18">
      <c r="A9" s="174">
        <v>45473</v>
      </c>
      <c r="B9" s="40">
        <f t="shared" si="3"/>
        <v>41</v>
      </c>
      <c r="C9" s="40">
        <f t="shared" si="3"/>
        <v>4131.4480000000003</v>
      </c>
      <c r="D9" s="40">
        <v>5</v>
      </c>
      <c r="E9" s="40">
        <v>1957.28</v>
      </c>
      <c r="F9" s="40">
        <v>17</v>
      </c>
      <c r="G9" s="40">
        <v>563.33800000000008</v>
      </c>
      <c r="H9" s="40">
        <f t="shared" ref="H9:I11" si="4">D9+F9</f>
        <v>22</v>
      </c>
      <c r="I9" s="40">
        <f t="shared" si="4"/>
        <v>2520.6179999999999</v>
      </c>
      <c r="J9" s="40">
        <v>16</v>
      </c>
      <c r="K9" s="40">
        <v>1050.58</v>
      </c>
      <c r="L9" s="40">
        <v>0</v>
      </c>
      <c r="M9" s="40">
        <v>0</v>
      </c>
      <c r="N9" s="40">
        <v>3</v>
      </c>
      <c r="O9" s="40">
        <v>560.25</v>
      </c>
    </row>
    <row r="10" spans="1:18">
      <c r="A10" s="174">
        <v>45504</v>
      </c>
      <c r="B10" s="40">
        <f t="shared" si="3"/>
        <v>44</v>
      </c>
      <c r="C10" s="40">
        <f t="shared" si="3"/>
        <v>9262.7308530999981</v>
      </c>
      <c r="D10" s="546">
        <v>5</v>
      </c>
      <c r="E10" s="40">
        <v>4878.1799754999993</v>
      </c>
      <c r="F10" s="40">
        <v>25</v>
      </c>
      <c r="G10" s="40">
        <v>1182.0067200000001</v>
      </c>
      <c r="H10" s="40">
        <f t="shared" si="4"/>
        <v>30</v>
      </c>
      <c r="I10" s="40">
        <f t="shared" si="4"/>
        <v>6060.1866954999996</v>
      </c>
      <c r="J10" s="40">
        <v>11</v>
      </c>
      <c r="K10" s="40">
        <v>2790.9241575999995</v>
      </c>
      <c r="L10" s="40">
        <v>1</v>
      </c>
      <c r="M10" s="40">
        <v>149.99</v>
      </c>
      <c r="N10" s="40">
        <v>2</v>
      </c>
      <c r="O10" s="40">
        <v>261.63</v>
      </c>
    </row>
    <row r="11" spans="1:18">
      <c r="A11" s="174">
        <v>45535</v>
      </c>
      <c r="B11" s="40">
        <f t="shared" si="3"/>
        <v>46</v>
      </c>
      <c r="C11" s="40">
        <f t="shared" si="3"/>
        <v>19254.652833906006</v>
      </c>
      <c r="D11" s="547">
        <v>8</v>
      </c>
      <c r="E11" s="40">
        <v>14700.324714800003</v>
      </c>
      <c r="F11" s="40">
        <v>24</v>
      </c>
      <c r="G11" s="40">
        <v>763.21578000000011</v>
      </c>
      <c r="H11" s="40">
        <f t="shared" si="4"/>
        <v>32</v>
      </c>
      <c r="I11" s="40">
        <f t="shared" si="4"/>
        <v>15463.540494800003</v>
      </c>
      <c r="J11" s="40">
        <v>10</v>
      </c>
      <c r="K11" s="40">
        <v>3346.1223391059998</v>
      </c>
      <c r="L11" s="40">
        <v>0</v>
      </c>
      <c r="M11" s="40">
        <v>0</v>
      </c>
      <c r="N11" s="40">
        <v>4</v>
      </c>
      <c r="O11" s="40">
        <v>444.99</v>
      </c>
    </row>
    <row r="12" spans="1:18">
      <c r="A12" s="174">
        <v>45565</v>
      </c>
      <c r="B12" s="40"/>
      <c r="C12" s="40"/>
      <c r="D12" s="266"/>
      <c r="E12" s="266"/>
      <c r="F12" s="267"/>
      <c r="G12" s="267"/>
      <c r="H12" s="40"/>
      <c r="I12" s="40"/>
      <c r="J12" s="266"/>
      <c r="K12" s="266"/>
      <c r="L12" s="40"/>
      <c r="M12" s="40"/>
      <c r="N12" s="40"/>
      <c r="O12" s="40"/>
    </row>
    <row r="13" spans="1:18">
      <c r="A13" s="174">
        <v>45596</v>
      </c>
      <c r="B13" s="40"/>
      <c r="C13" s="40"/>
      <c r="D13" s="266"/>
      <c r="E13" s="266"/>
      <c r="F13" s="267"/>
      <c r="G13" s="267"/>
      <c r="H13" s="40"/>
      <c r="I13" s="40"/>
      <c r="J13" s="266"/>
      <c r="K13" s="266"/>
      <c r="L13" s="40"/>
      <c r="M13" s="40"/>
      <c r="N13" s="40"/>
      <c r="O13" s="40"/>
    </row>
    <row r="14" spans="1:18">
      <c r="A14" s="174">
        <v>45626</v>
      </c>
      <c r="B14" s="40"/>
      <c r="C14" s="40"/>
      <c r="D14" s="266"/>
      <c r="E14" s="266"/>
      <c r="F14" s="267"/>
      <c r="G14" s="267"/>
      <c r="H14" s="40"/>
      <c r="I14" s="40"/>
      <c r="J14" s="266"/>
      <c r="K14" s="266"/>
      <c r="L14" s="40"/>
      <c r="M14" s="40"/>
      <c r="N14" s="40"/>
      <c r="O14" s="40"/>
    </row>
    <row r="15" spans="1:18">
      <c r="A15" s="174">
        <v>45657</v>
      </c>
      <c r="B15" s="40"/>
      <c r="C15" s="40"/>
      <c r="D15" s="171"/>
      <c r="E15" s="266"/>
      <c r="F15" s="268"/>
      <c r="G15" s="268"/>
      <c r="H15" s="40"/>
      <c r="I15" s="40"/>
      <c r="J15" s="266"/>
      <c r="K15" s="266"/>
      <c r="L15" s="40"/>
      <c r="M15" s="40"/>
      <c r="N15" s="252"/>
      <c r="O15" s="341"/>
      <c r="P15" s="21"/>
      <c r="Q15" s="21"/>
    </row>
    <row r="16" spans="1:18">
      <c r="A16" s="174">
        <v>45688</v>
      </c>
      <c r="B16" s="40"/>
      <c r="C16" s="40"/>
      <c r="D16" s="266"/>
      <c r="E16" s="266"/>
      <c r="F16" s="268"/>
      <c r="G16" s="268"/>
      <c r="H16" s="40"/>
      <c r="I16" s="40"/>
      <c r="J16" s="266"/>
      <c r="K16" s="266"/>
      <c r="L16" s="40"/>
      <c r="M16" s="40"/>
      <c r="N16" s="253"/>
      <c r="O16" s="40"/>
    </row>
    <row r="17" spans="1:15">
      <c r="A17" s="174">
        <v>45716</v>
      </c>
      <c r="B17" s="40"/>
      <c r="C17" s="40"/>
      <c r="D17" s="171"/>
      <c r="E17" s="171"/>
      <c r="F17" s="171"/>
      <c r="G17" s="171"/>
      <c r="H17" s="40"/>
      <c r="I17" s="40"/>
      <c r="J17" s="171"/>
      <c r="K17" s="171"/>
      <c r="L17" s="40"/>
      <c r="M17" s="40"/>
      <c r="N17" s="40"/>
      <c r="O17" s="40"/>
    </row>
    <row r="18" spans="1:15">
      <c r="A18" s="174">
        <v>45747</v>
      </c>
      <c r="B18" s="40"/>
      <c r="C18" s="40"/>
      <c r="D18" s="266"/>
      <c r="E18" s="266"/>
      <c r="F18" s="171"/>
      <c r="G18" s="171"/>
      <c r="H18" s="40"/>
      <c r="I18" s="40"/>
      <c r="J18" s="266"/>
      <c r="K18" s="266"/>
      <c r="L18" s="266"/>
      <c r="M18" s="266"/>
      <c r="N18" s="40"/>
      <c r="O18" s="341"/>
    </row>
    <row r="19" spans="1:15" s="331" customFormat="1">
      <c r="A19" s="743" t="str">
        <f>"$ indicates as on "&amp;TEXT(IF(COUNT(B7:B18)=1,A7,IF(COUNT(B7:B18)=2,A8,IF(COUNT(B7:B18)=3,A9,IF(COUNT(B7:B18)=4,A10,IF(COUNT(B7:B18)=5,A11,IF(COUNT(B7:B18)=6,A12,IF(COUNT(B7:B18)=7,A13,IF(COUNT(B7:B18)=8,A14,IF(COUNT(B7:B18)=9,A15,IF(COUNT(B7:B18)=10,A16,IF(COUNT(B7:B18)=11,A17,A18))))))))))),"mmmm dd, yyyy")</f>
        <v>$ indicates as on August 31, 2024</v>
      </c>
      <c r="B19" s="44"/>
      <c r="C19" s="44"/>
      <c r="D19" s="744"/>
      <c r="E19" s="744"/>
      <c r="F19" s="744"/>
      <c r="G19" s="744"/>
      <c r="H19" s="44"/>
      <c r="I19" s="44"/>
      <c r="J19" s="744"/>
      <c r="K19" s="744"/>
      <c r="L19" s="744"/>
      <c r="M19" s="744"/>
      <c r="N19" s="44"/>
      <c r="O19" s="745"/>
    </row>
    <row r="20" spans="1:15">
      <c r="A20" s="1246" t="s">
        <v>830</v>
      </c>
      <c r="B20" s="1247"/>
      <c r="C20" s="1247"/>
      <c r="D20" s="1247"/>
      <c r="E20" s="1247"/>
      <c r="F20" s="1247"/>
      <c r="G20" s="1247"/>
      <c r="H20" s="1247"/>
      <c r="I20" s="1247"/>
      <c r="J20" s="1247"/>
      <c r="K20" s="1247"/>
      <c r="L20" s="1247"/>
      <c r="M20" s="1247"/>
      <c r="N20" s="1247"/>
      <c r="O20" s="1247"/>
    </row>
    <row r="21" spans="1:15">
      <c r="A21" s="259" t="s">
        <v>831</v>
      </c>
      <c r="B21" s="259"/>
      <c r="C21" s="259"/>
      <c r="D21" s="259"/>
      <c r="E21" s="259"/>
      <c r="F21" s="259"/>
      <c r="G21" s="259"/>
      <c r="H21" s="259"/>
      <c r="I21" s="259"/>
      <c r="J21" s="259"/>
      <c r="K21" s="209"/>
      <c r="L21" s="41"/>
      <c r="M21" s="197"/>
    </row>
    <row r="22" spans="1:15">
      <c r="A22" s="260" t="s">
        <v>832</v>
      </c>
      <c r="B22" s="260"/>
      <c r="C22" s="260"/>
      <c r="D22" s="260"/>
      <c r="E22" s="42"/>
      <c r="F22" s="42"/>
      <c r="G22" s="42"/>
      <c r="H22" s="42"/>
      <c r="I22" s="42"/>
      <c r="J22" s="39"/>
      <c r="K22" s="42"/>
      <c r="L22" s="42"/>
      <c r="M22" s="42"/>
    </row>
    <row r="23" spans="1:15">
      <c r="A23" s="258" t="s">
        <v>130</v>
      </c>
      <c r="B23" s="258"/>
      <c r="C23" s="258"/>
      <c r="D23" s="258"/>
      <c r="E23" s="258"/>
      <c r="F23" s="258"/>
      <c r="G23" s="258"/>
      <c r="H23" s="258"/>
      <c r="I23" s="258"/>
      <c r="K23" s="258"/>
      <c r="L23" s="258"/>
      <c r="M23" s="258"/>
    </row>
    <row r="24" spans="1:15">
      <c r="A24" s="260"/>
    </row>
  </sheetData>
  <mergeCells count="12">
    <mergeCell ref="H3:I3"/>
    <mergeCell ref="A1:O1"/>
    <mergeCell ref="A20:O20"/>
    <mergeCell ref="D3:E3"/>
    <mergeCell ref="J3:K3"/>
    <mergeCell ref="L3:M3"/>
    <mergeCell ref="N3:O3"/>
    <mergeCell ref="B2:C3"/>
    <mergeCell ref="F3:G3"/>
    <mergeCell ref="A2:A4"/>
    <mergeCell ref="D2:M2"/>
    <mergeCell ref="N2:O2"/>
  </mergeCells>
  <printOptions horizontalCentered="1"/>
  <pageMargins left="0.7" right="0.7" top="0.75" bottom="0.75" header="0.3" footer="0.3"/>
  <pageSetup paperSize="9" scale="95" fitToHeight="0" orientation="landscape"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dimension ref="A1:AE66"/>
  <sheetViews>
    <sheetView workbookViewId="0"/>
  </sheetViews>
  <sheetFormatPr defaultRowHeight="15"/>
  <cols>
    <col min="1" max="1" width="17.5703125" customWidth="1"/>
    <col min="2" max="2" width="19.42578125" customWidth="1"/>
    <col min="3" max="3" width="25.5703125" customWidth="1"/>
    <col min="4" max="4" width="10.5703125" customWidth="1"/>
    <col min="5" max="5" width="10.28515625" customWidth="1"/>
    <col min="6" max="6" width="10.28515625" style="18" customWidth="1"/>
    <col min="7" max="7" width="12.85546875" style="18" customWidth="1"/>
    <col min="10" max="10" width="10.140625" bestFit="1" customWidth="1"/>
  </cols>
  <sheetData>
    <row r="1" spans="1:31" ht="15.75">
      <c r="A1" s="401" t="s">
        <v>144</v>
      </c>
      <c r="B1" s="401"/>
      <c r="C1" s="401"/>
      <c r="D1" s="401"/>
      <c r="E1" s="401"/>
      <c r="F1" s="401"/>
      <c r="G1" s="401"/>
    </row>
    <row r="2" spans="1:31" ht="15" customHeight="1">
      <c r="A2" s="1270" t="s">
        <v>746</v>
      </c>
      <c r="B2" s="1272" t="s">
        <v>747</v>
      </c>
      <c r="C2" s="1272" t="s">
        <v>145</v>
      </c>
      <c r="D2" s="1271" t="s">
        <v>518</v>
      </c>
      <c r="E2" s="1271"/>
      <c r="F2" s="1271" t="s">
        <v>1414</v>
      </c>
      <c r="G2" s="1271"/>
      <c r="H2" s="1269">
        <v>45383</v>
      </c>
      <c r="I2" s="1269"/>
      <c r="J2" s="1261">
        <f>EOMONTH(H2,1)</f>
        <v>45443</v>
      </c>
      <c r="K2" s="1262"/>
      <c r="L2" s="1261">
        <f>EOMONTH(J2,1)</f>
        <v>45473</v>
      </c>
      <c r="M2" s="1262"/>
      <c r="N2" s="1261">
        <f>EOMONTH(L2,1)</f>
        <v>45504</v>
      </c>
      <c r="O2" s="1262"/>
      <c r="P2" s="1261">
        <f>EOMONTH(N2,1)</f>
        <v>45535</v>
      </c>
      <c r="Q2" s="1262"/>
      <c r="R2" s="1261">
        <f>EOMONTH(P2,1)</f>
        <v>45565</v>
      </c>
      <c r="S2" s="1262"/>
      <c r="T2" s="1261">
        <f>EOMONTH(R2,1)</f>
        <v>45596</v>
      </c>
      <c r="U2" s="1262"/>
      <c r="V2" s="1261">
        <f>EOMONTH(T2,1)</f>
        <v>45626</v>
      </c>
      <c r="W2" s="1262"/>
      <c r="X2" s="1261">
        <f>EOMONTH(V2,1)</f>
        <v>45657</v>
      </c>
      <c r="Y2" s="1262"/>
      <c r="Z2" s="1261">
        <f>EOMONTH(X2,1)</f>
        <v>45688</v>
      </c>
      <c r="AA2" s="1262"/>
      <c r="AB2" s="1261">
        <f>EOMONTH(Z2,1)</f>
        <v>45716</v>
      </c>
      <c r="AC2" s="1262"/>
      <c r="AD2" s="1261">
        <f>EOMONTH(AB2,1)</f>
        <v>45747</v>
      </c>
      <c r="AE2" s="1262"/>
    </row>
    <row r="3" spans="1:31" ht="25.5">
      <c r="A3" s="1270"/>
      <c r="B3" s="1272"/>
      <c r="C3" s="1272"/>
      <c r="D3" s="398" t="s">
        <v>141</v>
      </c>
      <c r="E3" s="398" t="s">
        <v>1411</v>
      </c>
      <c r="F3" s="539" t="s">
        <v>141</v>
      </c>
      <c r="G3" s="539" t="s">
        <v>1411</v>
      </c>
      <c r="H3" s="398" t="s">
        <v>141</v>
      </c>
      <c r="I3" s="398" t="s">
        <v>1411</v>
      </c>
      <c r="J3" s="408" t="s">
        <v>141</v>
      </c>
      <c r="K3" s="408" t="s">
        <v>1411</v>
      </c>
      <c r="L3" s="440" t="s">
        <v>141</v>
      </c>
      <c r="M3" s="440" t="s">
        <v>1411</v>
      </c>
      <c r="N3" s="441" t="s">
        <v>141</v>
      </c>
      <c r="O3" s="441" t="s">
        <v>1411</v>
      </c>
      <c r="P3" s="441" t="s">
        <v>141</v>
      </c>
      <c r="Q3" s="441" t="s">
        <v>1411</v>
      </c>
      <c r="R3" s="441" t="s">
        <v>141</v>
      </c>
      <c r="S3" s="441" t="s">
        <v>1411</v>
      </c>
      <c r="T3" s="441" t="s">
        <v>141</v>
      </c>
      <c r="U3" s="441" t="s">
        <v>1411</v>
      </c>
      <c r="V3" s="441" t="s">
        <v>141</v>
      </c>
      <c r="W3" s="441" t="s">
        <v>1411</v>
      </c>
      <c r="X3" s="441" t="s">
        <v>141</v>
      </c>
      <c r="Y3" s="441" t="s">
        <v>1411</v>
      </c>
      <c r="Z3" s="441" t="s">
        <v>141</v>
      </c>
      <c r="AA3" s="441" t="s">
        <v>1411</v>
      </c>
      <c r="AB3" s="441" t="s">
        <v>141</v>
      </c>
      <c r="AC3" s="441" t="s">
        <v>1411</v>
      </c>
      <c r="AD3" s="441" t="s">
        <v>141</v>
      </c>
      <c r="AE3" s="441" t="s">
        <v>1411</v>
      </c>
    </row>
    <row r="4" spans="1:31">
      <c r="A4" s="1263" t="s">
        <v>807</v>
      </c>
      <c r="B4" s="1263" t="s">
        <v>808</v>
      </c>
      <c r="C4" s="395" t="s">
        <v>748</v>
      </c>
      <c r="D4" s="399">
        <v>7</v>
      </c>
      <c r="E4" s="196">
        <v>615.83574079999994</v>
      </c>
      <c r="F4" s="239">
        <f>H4+J4+L4+N4+P4+R4+T4+V4+X4+Z4+AB4+AD4</f>
        <v>6</v>
      </c>
      <c r="G4" s="239">
        <f>I4+K4+M4+O4+Q4+S4+U4+W4+Y4+AA4+AC4+AE4</f>
        <v>234.91904</v>
      </c>
      <c r="H4" s="196">
        <v>0</v>
      </c>
      <c r="I4" s="196">
        <v>0</v>
      </c>
      <c r="J4" s="196">
        <v>2</v>
      </c>
      <c r="K4" s="196">
        <v>60.491599999999998</v>
      </c>
      <c r="L4" s="196">
        <v>3</v>
      </c>
      <c r="M4" s="196">
        <v>149.28</v>
      </c>
      <c r="N4" s="196">
        <v>0</v>
      </c>
      <c r="O4" s="196">
        <v>0</v>
      </c>
      <c r="P4" s="196">
        <v>1</v>
      </c>
      <c r="Q4" s="196">
        <v>25.14744</v>
      </c>
    </row>
    <row r="5" spans="1:31">
      <c r="A5" s="1265"/>
      <c r="B5" s="1264"/>
      <c r="C5" s="395" t="s">
        <v>749</v>
      </c>
      <c r="D5" s="399">
        <v>2</v>
      </c>
      <c r="E5" s="196">
        <v>170.5403</v>
      </c>
      <c r="F5" s="239">
        <f t="shared" ref="F5:F62" si="0">H5+J5+L5+N5+P5+R5+T5+V5+X5+Z5+AB5+AD5</f>
        <v>1</v>
      </c>
      <c r="G5" s="239">
        <f t="shared" ref="G5:G62" si="1">I5+K5+M5+O5+Q5+S5+U5+W5+Y5+AA5+AC5+AE5</f>
        <v>44.676000000000002</v>
      </c>
      <c r="H5" s="196">
        <v>0</v>
      </c>
      <c r="I5" s="196">
        <v>0</v>
      </c>
      <c r="J5" s="196">
        <v>0</v>
      </c>
      <c r="K5" s="196">
        <v>0</v>
      </c>
      <c r="L5" s="196">
        <v>0</v>
      </c>
      <c r="M5" s="196">
        <v>0</v>
      </c>
      <c r="N5" s="196">
        <v>1</v>
      </c>
      <c r="O5" s="196">
        <v>44.676000000000002</v>
      </c>
      <c r="P5" s="196">
        <v>0</v>
      </c>
      <c r="Q5" s="196">
        <v>0</v>
      </c>
    </row>
    <row r="6" spans="1:31">
      <c r="A6" s="1265"/>
      <c r="B6" s="1263" t="s">
        <v>809</v>
      </c>
      <c r="C6" s="395" t="s">
        <v>750</v>
      </c>
      <c r="D6" s="399">
        <v>2</v>
      </c>
      <c r="E6" s="196">
        <v>4447.0123926000006</v>
      </c>
      <c r="F6" s="239">
        <f t="shared" si="0"/>
        <v>1</v>
      </c>
      <c r="G6" s="239">
        <f t="shared" si="1"/>
        <v>400</v>
      </c>
      <c r="H6" s="196">
        <v>0</v>
      </c>
      <c r="I6" s="196">
        <v>0</v>
      </c>
      <c r="J6" s="196">
        <v>1</v>
      </c>
      <c r="K6" s="196">
        <v>400</v>
      </c>
      <c r="L6" s="196">
        <v>0</v>
      </c>
      <c r="M6" s="196">
        <v>0</v>
      </c>
      <c r="N6" s="196">
        <v>0</v>
      </c>
      <c r="O6" s="196">
        <v>0</v>
      </c>
      <c r="P6" s="196">
        <v>0</v>
      </c>
      <c r="Q6" s="196">
        <v>0</v>
      </c>
    </row>
    <row r="7" spans="1:31">
      <c r="A7" s="1265"/>
      <c r="B7" s="1264"/>
      <c r="C7" s="395" t="s">
        <v>751</v>
      </c>
      <c r="D7" s="399">
        <v>1</v>
      </c>
      <c r="E7" s="196">
        <v>49.98</v>
      </c>
      <c r="F7" s="239">
        <f t="shared" si="0"/>
        <v>0</v>
      </c>
      <c r="G7" s="239">
        <f t="shared" si="1"/>
        <v>0</v>
      </c>
      <c r="H7" s="196">
        <v>0</v>
      </c>
      <c r="I7" s="196">
        <v>0</v>
      </c>
      <c r="J7" s="196">
        <v>0</v>
      </c>
      <c r="K7" s="196">
        <v>0</v>
      </c>
      <c r="L7" s="196">
        <v>0</v>
      </c>
      <c r="M7" s="196">
        <v>0</v>
      </c>
      <c r="N7" s="196">
        <v>0</v>
      </c>
      <c r="O7" s="196">
        <v>0</v>
      </c>
      <c r="P7" s="196">
        <v>0</v>
      </c>
      <c r="Q7" s="196">
        <v>0</v>
      </c>
    </row>
    <row r="8" spans="1:31">
      <c r="A8" s="1265"/>
      <c r="B8" s="1263" t="s">
        <v>810</v>
      </c>
      <c r="C8" s="395" t="s">
        <v>752</v>
      </c>
      <c r="D8" s="399">
        <v>1</v>
      </c>
      <c r="E8" s="196">
        <v>42.692639999999997</v>
      </c>
      <c r="F8" s="239">
        <f t="shared" si="0"/>
        <v>2</v>
      </c>
      <c r="G8" s="239">
        <f t="shared" si="1"/>
        <v>195.06622830000001</v>
      </c>
      <c r="H8" s="196">
        <v>0</v>
      </c>
      <c r="I8" s="196">
        <v>0</v>
      </c>
      <c r="J8" s="196">
        <v>0</v>
      </c>
      <c r="K8" s="196">
        <v>0</v>
      </c>
      <c r="L8" s="196">
        <v>0</v>
      </c>
      <c r="M8" s="196">
        <v>0</v>
      </c>
      <c r="N8" s="196">
        <v>1</v>
      </c>
      <c r="O8" s="196">
        <v>170.99998830000001</v>
      </c>
      <c r="P8" s="196">
        <v>1</v>
      </c>
      <c r="Q8" s="196">
        <v>24.066240000000001</v>
      </c>
    </row>
    <row r="9" spans="1:31">
      <c r="A9" s="1265"/>
      <c r="B9" s="1265"/>
      <c r="C9" s="395" t="s">
        <v>753</v>
      </c>
      <c r="D9" s="399">
        <v>0</v>
      </c>
      <c r="E9" s="196">
        <v>0</v>
      </c>
      <c r="F9" s="239">
        <f t="shared" si="0"/>
        <v>0</v>
      </c>
      <c r="G9" s="239">
        <f t="shared" si="1"/>
        <v>0</v>
      </c>
      <c r="H9" s="196">
        <v>0</v>
      </c>
      <c r="I9" s="196">
        <v>0</v>
      </c>
      <c r="J9" s="196">
        <v>0</v>
      </c>
      <c r="K9" s="196">
        <v>0</v>
      </c>
      <c r="L9" s="196">
        <v>0</v>
      </c>
      <c r="M9" s="196">
        <v>0</v>
      </c>
      <c r="N9" s="196">
        <v>0</v>
      </c>
      <c r="O9" s="196">
        <v>0</v>
      </c>
      <c r="P9" s="196">
        <v>0</v>
      </c>
      <c r="Q9" s="196">
        <v>0</v>
      </c>
    </row>
    <row r="10" spans="1:31">
      <c r="A10" s="1265"/>
      <c r="B10" s="1265"/>
      <c r="C10" s="395" t="s">
        <v>754</v>
      </c>
      <c r="D10" s="399">
        <v>0</v>
      </c>
      <c r="E10" s="196">
        <v>0</v>
      </c>
      <c r="F10" s="239">
        <f t="shared" si="0"/>
        <v>0</v>
      </c>
      <c r="G10" s="239">
        <f t="shared" si="1"/>
        <v>0</v>
      </c>
      <c r="H10" s="196">
        <v>0</v>
      </c>
      <c r="I10" s="196">
        <v>0</v>
      </c>
      <c r="J10" s="196">
        <v>0</v>
      </c>
      <c r="K10" s="196">
        <v>0</v>
      </c>
      <c r="L10" s="196">
        <v>0</v>
      </c>
      <c r="M10" s="196">
        <v>0</v>
      </c>
      <c r="N10" s="196">
        <v>0</v>
      </c>
      <c r="O10" s="196">
        <v>0</v>
      </c>
      <c r="P10" s="196">
        <v>0</v>
      </c>
      <c r="Q10" s="196">
        <v>0</v>
      </c>
    </row>
    <row r="11" spans="1:31">
      <c r="A11" s="1265"/>
      <c r="B11" s="1265"/>
      <c r="C11" s="395" t="s">
        <v>755</v>
      </c>
      <c r="D11" s="399">
        <v>0</v>
      </c>
      <c r="E11" s="196">
        <v>0</v>
      </c>
      <c r="F11" s="239">
        <f t="shared" si="0"/>
        <v>1</v>
      </c>
      <c r="G11" s="239">
        <f t="shared" si="1"/>
        <v>113.16096</v>
      </c>
      <c r="H11" s="196">
        <v>0</v>
      </c>
      <c r="I11" s="196">
        <v>0</v>
      </c>
      <c r="J11" s="196">
        <v>0</v>
      </c>
      <c r="K11" s="196">
        <v>0</v>
      </c>
      <c r="L11" s="196">
        <v>0</v>
      </c>
      <c r="M11" s="196">
        <v>0</v>
      </c>
      <c r="N11" s="196">
        <v>1</v>
      </c>
      <c r="O11" s="196">
        <v>113.16096</v>
      </c>
      <c r="P11" s="196">
        <v>0</v>
      </c>
      <c r="Q11" s="196">
        <v>0</v>
      </c>
    </row>
    <row r="12" spans="1:31">
      <c r="A12" s="1265"/>
      <c r="B12" s="1264"/>
      <c r="C12" s="395" t="s">
        <v>756</v>
      </c>
      <c r="D12" s="399">
        <v>1</v>
      </c>
      <c r="E12" s="196">
        <v>37.5335775</v>
      </c>
      <c r="F12" s="239">
        <f t="shared" si="0"/>
        <v>0</v>
      </c>
      <c r="G12" s="239">
        <f t="shared" si="1"/>
        <v>0</v>
      </c>
      <c r="H12" s="196">
        <v>0</v>
      </c>
      <c r="I12" s="196">
        <v>0</v>
      </c>
      <c r="J12" s="196">
        <v>0</v>
      </c>
      <c r="K12" s="196">
        <v>0</v>
      </c>
      <c r="L12" s="196">
        <v>0</v>
      </c>
      <c r="M12" s="196">
        <v>0</v>
      </c>
      <c r="N12" s="196">
        <v>0</v>
      </c>
      <c r="O12" s="196">
        <v>0</v>
      </c>
      <c r="P12" s="196">
        <v>0</v>
      </c>
      <c r="Q12" s="196">
        <v>0</v>
      </c>
    </row>
    <row r="13" spans="1:31">
      <c r="A13" s="1264"/>
      <c r="B13" s="404" t="s">
        <v>811</v>
      </c>
      <c r="C13" s="395" t="s">
        <v>757</v>
      </c>
      <c r="D13" s="399">
        <v>2</v>
      </c>
      <c r="E13" s="196">
        <v>77.48</v>
      </c>
      <c r="F13" s="239">
        <f t="shared" si="0"/>
        <v>2</v>
      </c>
      <c r="G13" s="239">
        <f t="shared" si="1"/>
        <v>84.9273448</v>
      </c>
      <c r="H13" s="196">
        <v>0</v>
      </c>
      <c r="I13" s="196">
        <v>0</v>
      </c>
      <c r="J13" s="196">
        <v>1</v>
      </c>
      <c r="K13" s="196">
        <v>45.1073448</v>
      </c>
      <c r="L13" s="196">
        <v>0</v>
      </c>
      <c r="M13" s="196">
        <v>0</v>
      </c>
      <c r="N13" s="196">
        <v>1</v>
      </c>
      <c r="O13" s="196">
        <v>39.82</v>
      </c>
      <c r="P13" s="196">
        <v>0</v>
      </c>
      <c r="Q13" s="196">
        <v>0</v>
      </c>
    </row>
    <row r="14" spans="1:31">
      <c r="A14" s="1263" t="s">
        <v>812</v>
      </c>
      <c r="B14" s="1263" t="s">
        <v>813</v>
      </c>
      <c r="C14" s="395" t="s">
        <v>758</v>
      </c>
      <c r="D14" s="399">
        <v>1</v>
      </c>
      <c r="E14" s="196">
        <v>601.54999999999995</v>
      </c>
      <c r="F14" s="239">
        <f t="shared" si="0"/>
        <v>4</v>
      </c>
      <c r="G14" s="239">
        <f t="shared" si="1"/>
        <v>6343.52</v>
      </c>
      <c r="H14" s="196">
        <v>0</v>
      </c>
      <c r="I14" s="196">
        <v>0</v>
      </c>
      <c r="J14" s="196">
        <v>0</v>
      </c>
      <c r="K14" s="196">
        <v>0</v>
      </c>
      <c r="L14" s="196">
        <v>0</v>
      </c>
      <c r="M14" s="196">
        <v>0</v>
      </c>
      <c r="N14" s="196">
        <v>1</v>
      </c>
      <c r="O14" s="196">
        <v>115.64</v>
      </c>
      <c r="P14" s="196">
        <v>3</v>
      </c>
      <c r="Q14" s="196">
        <v>6227.88</v>
      </c>
    </row>
    <row r="15" spans="1:31">
      <c r="A15" s="1265"/>
      <c r="B15" s="1264"/>
      <c r="C15" s="395" t="s">
        <v>759</v>
      </c>
      <c r="D15" s="399">
        <v>3</v>
      </c>
      <c r="E15" s="196">
        <v>914.20791999999994</v>
      </c>
      <c r="F15" s="239">
        <f t="shared" si="0"/>
        <v>2</v>
      </c>
      <c r="G15" s="239">
        <f t="shared" si="1"/>
        <v>79.135599999999997</v>
      </c>
      <c r="H15" s="196">
        <v>1</v>
      </c>
      <c r="I15" s="196">
        <v>53.89</v>
      </c>
      <c r="J15" s="196">
        <v>1</v>
      </c>
      <c r="K15" s="196">
        <v>25.2456</v>
      </c>
      <c r="L15" s="196">
        <v>0</v>
      </c>
      <c r="M15" s="196">
        <v>0</v>
      </c>
      <c r="N15" s="196">
        <v>0</v>
      </c>
      <c r="O15" s="196">
        <v>0</v>
      </c>
      <c r="P15" s="196">
        <v>0</v>
      </c>
      <c r="Q15" s="196">
        <v>0</v>
      </c>
    </row>
    <row r="16" spans="1:31">
      <c r="A16" s="1265"/>
      <c r="B16" s="404" t="s">
        <v>814</v>
      </c>
      <c r="C16" s="395" t="s">
        <v>760</v>
      </c>
      <c r="D16" s="399">
        <v>22</v>
      </c>
      <c r="E16" s="196">
        <v>4644.4648800999994</v>
      </c>
      <c r="F16" s="239">
        <f t="shared" si="0"/>
        <v>13</v>
      </c>
      <c r="G16" s="239">
        <f t="shared" si="1"/>
        <v>937.58836499999984</v>
      </c>
      <c r="H16" s="196">
        <v>5</v>
      </c>
      <c r="I16" s="196">
        <v>141.13036500000001</v>
      </c>
      <c r="J16" s="196">
        <v>1</v>
      </c>
      <c r="K16" s="196">
        <v>15</v>
      </c>
      <c r="L16" s="196">
        <v>4</v>
      </c>
      <c r="M16" s="196">
        <v>633.55999999999995</v>
      </c>
      <c r="N16" s="196">
        <v>1</v>
      </c>
      <c r="O16" s="196">
        <v>28.05</v>
      </c>
      <c r="P16" s="196">
        <v>2</v>
      </c>
      <c r="Q16" s="196">
        <v>119.84800000000001</v>
      </c>
    </row>
    <row r="17" spans="1:17">
      <c r="A17" s="1265"/>
      <c r="B17" s="404" t="s">
        <v>815</v>
      </c>
      <c r="C17" s="395" t="s">
        <v>761</v>
      </c>
      <c r="D17" s="399">
        <v>14</v>
      </c>
      <c r="E17" s="196">
        <v>279.06739999999996</v>
      </c>
      <c r="F17" s="239">
        <f t="shared" si="0"/>
        <v>11</v>
      </c>
      <c r="G17" s="239">
        <f t="shared" si="1"/>
        <v>461.31296356600001</v>
      </c>
      <c r="H17" s="196">
        <v>1</v>
      </c>
      <c r="I17" s="196">
        <v>44.741307599999999</v>
      </c>
      <c r="J17" s="196">
        <v>2</v>
      </c>
      <c r="K17" s="196">
        <v>28.87</v>
      </c>
      <c r="L17" s="196">
        <v>3</v>
      </c>
      <c r="M17" s="196">
        <v>76.39</v>
      </c>
      <c r="N17" s="196">
        <v>1</v>
      </c>
      <c r="O17" s="196">
        <v>49.92</v>
      </c>
      <c r="P17" s="196">
        <v>4</v>
      </c>
      <c r="Q17" s="196">
        <v>261.39165596599997</v>
      </c>
    </row>
    <row r="18" spans="1:17">
      <c r="A18" s="1265"/>
      <c r="B18" s="1263" t="s">
        <v>816</v>
      </c>
      <c r="C18" s="395" t="s">
        <v>762</v>
      </c>
      <c r="D18" s="399">
        <v>5</v>
      </c>
      <c r="E18" s="196">
        <v>555.20499999999993</v>
      </c>
      <c r="F18" s="239">
        <f t="shared" si="0"/>
        <v>2</v>
      </c>
      <c r="G18" s="239">
        <f t="shared" si="1"/>
        <v>27.201599999999999</v>
      </c>
      <c r="H18" s="196">
        <v>0</v>
      </c>
      <c r="I18" s="196">
        <v>0</v>
      </c>
      <c r="J18" s="196">
        <v>1</v>
      </c>
      <c r="K18" s="196">
        <v>8.4816000000000003</v>
      </c>
      <c r="L18" s="196">
        <v>0</v>
      </c>
      <c r="M18" s="196">
        <v>0</v>
      </c>
      <c r="N18" s="196">
        <v>0</v>
      </c>
      <c r="O18" s="196">
        <v>0</v>
      </c>
      <c r="P18" s="196">
        <v>1</v>
      </c>
      <c r="Q18" s="196">
        <v>18.72</v>
      </c>
    </row>
    <row r="19" spans="1:17">
      <c r="A19" s="1265"/>
      <c r="B19" s="1265"/>
      <c r="C19" s="395" t="s">
        <v>763</v>
      </c>
      <c r="D19" s="399">
        <v>6</v>
      </c>
      <c r="E19" s="196">
        <v>240.97613100000001</v>
      </c>
      <c r="F19" s="239">
        <f t="shared" si="0"/>
        <v>1</v>
      </c>
      <c r="G19" s="239">
        <f t="shared" si="1"/>
        <v>14.251519999999999</v>
      </c>
      <c r="H19" s="196">
        <v>1</v>
      </c>
      <c r="I19" s="196">
        <v>14.251519999999999</v>
      </c>
      <c r="J19" s="196">
        <v>0</v>
      </c>
      <c r="K19" s="196">
        <v>0</v>
      </c>
      <c r="L19" s="196">
        <v>0</v>
      </c>
      <c r="M19" s="196">
        <v>0</v>
      </c>
      <c r="N19" s="196">
        <v>0</v>
      </c>
      <c r="O19" s="196">
        <v>0</v>
      </c>
      <c r="P19" s="196">
        <v>0</v>
      </c>
      <c r="Q19" s="196">
        <v>0</v>
      </c>
    </row>
    <row r="20" spans="1:17">
      <c r="A20" s="1265"/>
      <c r="B20" s="1264"/>
      <c r="C20" s="395" t="s">
        <v>764</v>
      </c>
      <c r="D20" s="399">
        <v>0</v>
      </c>
      <c r="E20" s="196">
        <v>0</v>
      </c>
      <c r="F20" s="239">
        <f t="shared" si="0"/>
        <v>1</v>
      </c>
      <c r="G20" s="239">
        <f t="shared" si="1"/>
        <v>45.9</v>
      </c>
      <c r="H20" s="196">
        <v>0</v>
      </c>
      <c r="I20" s="196">
        <v>0</v>
      </c>
      <c r="J20" s="196">
        <v>0</v>
      </c>
      <c r="K20" s="196">
        <v>0</v>
      </c>
      <c r="L20" s="196">
        <v>0</v>
      </c>
      <c r="M20" s="196">
        <v>0</v>
      </c>
      <c r="N20" s="196">
        <v>1</v>
      </c>
      <c r="O20" s="196">
        <v>45.9</v>
      </c>
      <c r="P20" s="196">
        <v>0</v>
      </c>
      <c r="Q20" s="196">
        <v>0</v>
      </c>
    </row>
    <row r="21" spans="1:17">
      <c r="A21" s="1265"/>
      <c r="B21" s="404" t="s">
        <v>817</v>
      </c>
      <c r="C21" s="395" t="s">
        <v>765</v>
      </c>
      <c r="D21" s="399">
        <v>6</v>
      </c>
      <c r="E21" s="196">
        <v>1256.2571</v>
      </c>
      <c r="F21" s="239">
        <f t="shared" si="0"/>
        <v>2</v>
      </c>
      <c r="G21" s="239">
        <f t="shared" si="1"/>
        <v>2029.4839999999999</v>
      </c>
      <c r="H21" s="196">
        <v>0</v>
      </c>
      <c r="I21" s="196">
        <v>0</v>
      </c>
      <c r="J21" s="196">
        <v>0</v>
      </c>
      <c r="K21" s="196">
        <v>0</v>
      </c>
      <c r="L21" s="196">
        <v>0</v>
      </c>
      <c r="M21" s="196">
        <v>0</v>
      </c>
      <c r="N21" s="196">
        <v>2</v>
      </c>
      <c r="O21" s="196">
        <v>2029.4839999999999</v>
      </c>
      <c r="P21" s="196">
        <v>0</v>
      </c>
      <c r="Q21" s="196">
        <v>0</v>
      </c>
    </row>
    <row r="22" spans="1:17">
      <c r="A22" s="1265"/>
      <c r="B22" s="1263" t="s">
        <v>146</v>
      </c>
      <c r="C22" s="395" t="s">
        <v>766</v>
      </c>
      <c r="D22" s="399">
        <v>5</v>
      </c>
      <c r="E22" s="196">
        <v>4895.93</v>
      </c>
      <c r="F22" s="239">
        <f t="shared" si="0"/>
        <v>4</v>
      </c>
      <c r="G22" s="239">
        <f t="shared" si="1"/>
        <v>2316.5109160000002</v>
      </c>
      <c r="H22" s="196">
        <v>1</v>
      </c>
      <c r="I22" s="196">
        <v>16.473600000000001</v>
      </c>
      <c r="J22" s="196">
        <v>1</v>
      </c>
      <c r="K22" s="196">
        <v>1550.8093160000001</v>
      </c>
      <c r="L22" s="196">
        <v>2</v>
      </c>
      <c r="M22" s="196">
        <v>749.22800000000007</v>
      </c>
      <c r="N22" s="196">
        <v>0</v>
      </c>
      <c r="O22" s="196">
        <v>0</v>
      </c>
      <c r="P22" s="196">
        <v>0</v>
      </c>
      <c r="Q22" s="196">
        <v>0</v>
      </c>
    </row>
    <row r="23" spans="1:17">
      <c r="A23" s="1265"/>
      <c r="B23" s="1265"/>
      <c r="C23" s="395" t="s">
        <v>767</v>
      </c>
      <c r="D23" s="399">
        <v>7</v>
      </c>
      <c r="E23" s="196">
        <v>215.69183999999998</v>
      </c>
      <c r="F23" s="239">
        <f t="shared" si="0"/>
        <v>1</v>
      </c>
      <c r="G23" s="239">
        <f t="shared" si="1"/>
        <v>6.81</v>
      </c>
      <c r="H23" s="196">
        <v>0</v>
      </c>
      <c r="I23" s="196">
        <v>0</v>
      </c>
      <c r="J23" s="196">
        <v>0</v>
      </c>
      <c r="K23" s="196">
        <v>0</v>
      </c>
      <c r="L23" s="196">
        <v>1</v>
      </c>
      <c r="M23" s="196">
        <v>6.81</v>
      </c>
      <c r="N23" s="196">
        <v>0</v>
      </c>
      <c r="O23" s="196">
        <v>0</v>
      </c>
      <c r="P23" s="196">
        <v>0</v>
      </c>
      <c r="Q23" s="196">
        <v>0</v>
      </c>
    </row>
    <row r="24" spans="1:17">
      <c r="A24" s="1264"/>
      <c r="B24" s="1264"/>
      <c r="C24" s="395" t="s">
        <v>768</v>
      </c>
      <c r="D24" s="399">
        <v>12</v>
      </c>
      <c r="E24" s="196">
        <v>3584.8555719999995</v>
      </c>
      <c r="F24" s="239">
        <f t="shared" si="0"/>
        <v>3</v>
      </c>
      <c r="G24" s="239">
        <f t="shared" si="1"/>
        <v>4211.28</v>
      </c>
      <c r="H24" s="196">
        <v>0</v>
      </c>
      <c r="I24" s="196">
        <v>0</v>
      </c>
      <c r="J24" s="196">
        <v>1</v>
      </c>
      <c r="K24" s="196">
        <v>13.53</v>
      </c>
      <c r="L24" s="196">
        <v>0</v>
      </c>
      <c r="M24" s="196">
        <v>0</v>
      </c>
      <c r="N24" s="196">
        <v>0</v>
      </c>
      <c r="O24" s="196">
        <v>0</v>
      </c>
      <c r="P24" s="196">
        <v>2</v>
      </c>
      <c r="Q24" s="196">
        <v>4197.75</v>
      </c>
    </row>
    <row r="25" spans="1:17">
      <c r="A25" s="1263" t="s">
        <v>650</v>
      </c>
      <c r="B25" s="1263" t="s">
        <v>818</v>
      </c>
      <c r="C25" s="395" t="s">
        <v>769</v>
      </c>
      <c r="D25" s="399">
        <v>2</v>
      </c>
      <c r="E25" s="196">
        <v>558.4</v>
      </c>
      <c r="F25" s="239">
        <f t="shared" si="0"/>
        <v>0</v>
      </c>
      <c r="G25" s="239">
        <f t="shared" si="1"/>
        <v>0</v>
      </c>
      <c r="H25" s="196">
        <v>0</v>
      </c>
      <c r="I25" s="196">
        <v>0</v>
      </c>
      <c r="J25" s="196">
        <v>0</v>
      </c>
      <c r="K25" s="196">
        <v>0</v>
      </c>
      <c r="L25" s="196">
        <v>0</v>
      </c>
      <c r="M25" s="196">
        <v>0</v>
      </c>
      <c r="N25" s="196">
        <v>0</v>
      </c>
      <c r="O25" s="196">
        <v>0</v>
      </c>
      <c r="P25" s="196">
        <v>0</v>
      </c>
      <c r="Q25" s="196">
        <v>0</v>
      </c>
    </row>
    <row r="26" spans="1:17">
      <c r="A26" s="1265"/>
      <c r="B26" s="1265"/>
      <c r="C26" s="395" t="s">
        <v>770</v>
      </c>
      <c r="D26" s="399">
        <v>0</v>
      </c>
      <c r="E26" s="196">
        <v>0</v>
      </c>
      <c r="F26" s="239">
        <f t="shared" si="0"/>
        <v>0</v>
      </c>
      <c r="G26" s="239">
        <f t="shared" si="1"/>
        <v>0</v>
      </c>
      <c r="H26" s="196">
        <v>0</v>
      </c>
      <c r="I26" s="196">
        <v>0</v>
      </c>
      <c r="J26" s="196">
        <v>0</v>
      </c>
      <c r="K26" s="196">
        <v>0</v>
      </c>
      <c r="L26" s="196">
        <v>0</v>
      </c>
      <c r="M26" s="196">
        <v>0</v>
      </c>
      <c r="N26" s="196">
        <v>0</v>
      </c>
      <c r="O26" s="196">
        <v>0</v>
      </c>
      <c r="P26" s="196">
        <v>0</v>
      </c>
      <c r="Q26" s="196">
        <v>0</v>
      </c>
    </row>
    <row r="27" spans="1:17">
      <c r="A27" s="1265"/>
      <c r="B27" s="1265"/>
      <c r="C27" s="395" t="s">
        <v>771</v>
      </c>
      <c r="D27" s="399">
        <v>2</v>
      </c>
      <c r="E27" s="196">
        <v>520.92999999999995</v>
      </c>
      <c r="F27" s="239">
        <f t="shared" si="0"/>
        <v>1</v>
      </c>
      <c r="G27" s="239">
        <f t="shared" si="1"/>
        <v>6.3</v>
      </c>
      <c r="H27" s="196">
        <v>1</v>
      </c>
      <c r="I27" s="196">
        <v>6.3</v>
      </c>
      <c r="J27" s="196">
        <v>0</v>
      </c>
      <c r="K27" s="196">
        <v>0</v>
      </c>
      <c r="L27" s="196">
        <v>0</v>
      </c>
      <c r="M27" s="196">
        <v>0</v>
      </c>
      <c r="N27" s="196">
        <v>0</v>
      </c>
      <c r="O27" s="196">
        <v>0</v>
      </c>
      <c r="P27" s="196">
        <v>0</v>
      </c>
      <c r="Q27" s="196">
        <v>0</v>
      </c>
    </row>
    <row r="28" spans="1:17">
      <c r="A28" s="1264"/>
      <c r="B28" s="1264"/>
      <c r="C28" s="395" t="s">
        <v>772</v>
      </c>
      <c r="D28" s="399">
        <v>0</v>
      </c>
      <c r="E28" s="196">
        <v>0</v>
      </c>
      <c r="F28" s="239">
        <f t="shared" si="0"/>
        <v>0</v>
      </c>
      <c r="G28" s="239">
        <f t="shared" si="1"/>
        <v>0</v>
      </c>
      <c r="H28" s="196">
        <v>0</v>
      </c>
      <c r="I28" s="196">
        <v>0</v>
      </c>
      <c r="J28" s="196">
        <v>0</v>
      </c>
      <c r="K28" s="196">
        <v>0</v>
      </c>
      <c r="L28" s="196">
        <v>0</v>
      </c>
      <c r="M28" s="196">
        <v>0</v>
      </c>
      <c r="N28" s="196">
        <v>0</v>
      </c>
      <c r="O28" s="196">
        <v>0</v>
      </c>
      <c r="P28" s="196">
        <v>0</v>
      </c>
      <c r="Q28" s="196">
        <v>0</v>
      </c>
    </row>
    <row r="29" spans="1:17">
      <c r="A29" s="1266" t="s">
        <v>819</v>
      </c>
      <c r="B29" s="1266" t="s">
        <v>819</v>
      </c>
      <c r="C29" s="395" t="s">
        <v>773</v>
      </c>
      <c r="D29" s="399">
        <v>8</v>
      </c>
      <c r="E29" s="196">
        <v>324.42033169999996</v>
      </c>
      <c r="F29" s="239">
        <f t="shared" si="0"/>
        <v>10</v>
      </c>
      <c r="G29" s="239">
        <f t="shared" si="1"/>
        <v>3788.8502533000001</v>
      </c>
      <c r="H29" s="196">
        <v>2</v>
      </c>
      <c r="I29" s="196">
        <v>76.065600000000003</v>
      </c>
      <c r="J29" s="196">
        <v>2</v>
      </c>
      <c r="K29" s="196">
        <v>54.699999999999996</v>
      </c>
      <c r="L29" s="196">
        <v>2</v>
      </c>
      <c r="M29" s="196">
        <v>86.129519999999999</v>
      </c>
      <c r="N29" s="196">
        <v>2</v>
      </c>
      <c r="O29" s="196">
        <v>561.15</v>
      </c>
      <c r="P29" s="196">
        <v>2</v>
      </c>
      <c r="Q29" s="196">
        <v>3010.8051332999999</v>
      </c>
    </row>
    <row r="30" spans="1:17">
      <c r="A30" s="1267"/>
      <c r="B30" s="1267"/>
      <c r="C30" s="395" t="s">
        <v>774</v>
      </c>
      <c r="D30" s="399">
        <v>1</v>
      </c>
      <c r="E30" s="196">
        <v>48.943300000000001</v>
      </c>
      <c r="F30" s="239">
        <f t="shared" si="0"/>
        <v>2</v>
      </c>
      <c r="G30" s="239">
        <f t="shared" si="1"/>
        <v>1521.78</v>
      </c>
      <c r="H30" s="196">
        <v>1</v>
      </c>
      <c r="I30" s="196">
        <v>21.78</v>
      </c>
      <c r="J30" s="196">
        <v>0</v>
      </c>
      <c r="K30" s="196">
        <v>0</v>
      </c>
      <c r="L30" s="196">
        <v>0</v>
      </c>
      <c r="M30" s="196">
        <v>0</v>
      </c>
      <c r="N30" s="196">
        <v>1</v>
      </c>
      <c r="O30" s="196">
        <v>1500</v>
      </c>
      <c r="P30" s="196">
        <v>0</v>
      </c>
      <c r="Q30" s="196">
        <v>0</v>
      </c>
    </row>
    <row r="31" spans="1:17">
      <c r="A31" s="1267"/>
      <c r="B31" s="1267"/>
      <c r="C31" s="395" t="s">
        <v>775</v>
      </c>
      <c r="D31" s="399">
        <v>1</v>
      </c>
      <c r="E31" s="196">
        <v>16.07</v>
      </c>
      <c r="F31" s="239">
        <f t="shared" si="0"/>
        <v>0</v>
      </c>
      <c r="G31" s="239">
        <f t="shared" si="1"/>
        <v>0</v>
      </c>
      <c r="H31" s="196">
        <v>0</v>
      </c>
      <c r="I31" s="196">
        <v>0</v>
      </c>
      <c r="J31" s="196">
        <v>0</v>
      </c>
      <c r="K31" s="196">
        <v>0</v>
      </c>
      <c r="L31" s="196">
        <v>0</v>
      </c>
      <c r="M31" s="196">
        <v>0</v>
      </c>
      <c r="N31" s="196">
        <v>0</v>
      </c>
      <c r="O31" s="196">
        <v>0</v>
      </c>
      <c r="P31" s="196">
        <v>0</v>
      </c>
      <c r="Q31" s="196">
        <v>0</v>
      </c>
    </row>
    <row r="32" spans="1:17">
      <c r="A32" s="1267"/>
      <c r="B32" s="1267"/>
      <c r="C32" s="395" t="s">
        <v>776</v>
      </c>
      <c r="D32" s="399">
        <v>13</v>
      </c>
      <c r="E32" s="196">
        <v>1596.7931286</v>
      </c>
      <c r="F32" s="239">
        <f t="shared" si="0"/>
        <v>8</v>
      </c>
      <c r="G32" s="239">
        <f t="shared" si="1"/>
        <v>214.46768750000001</v>
      </c>
      <c r="H32" s="196">
        <v>2</v>
      </c>
      <c r="I32" s="196">
        <v>32.1</v>
      </c>
      <c r="J32" s="196">
        <v>2</v>
      </c>
      <c r="K32" s="196">
        <v>44.323999999999998</v>
      </c>
      <c r="L32" s="196">
        <v>2</v>
      </c>
      <c r="M32" s="196">
        <v>77.14</v>
      </c>
      <c r="N32" s="196">
        <v>1</v>
      </c>
      <c r="O32" s="196">
        <v>12.72</v>
      </c>
      <c r="P32" s="196">
        <v>1</v>
      </c>
      <c r="Q32" s="196">
        <v>48.183687499999998</v>
      </c>
    </row>
    <row r="33" spans="1:17">
      <c r="A33" s="1267"/>
      <c r="B33" s="1267"/>
      <c r="C33" s="395" t="s">
        <v>777</v>
      </c>
      <c r="D33" s="399">
        <v>1</v>
      </c>
      <c r="E33" s="196">
        <v>1701.44</v>
      </c>
      <c r="F33" s="239">
        <f t="shared" si="0"/>
        <v>1</v>
      </c>
      <c r="G33" s="239">
        <f t="shared" si="1"/>
        <v>19.463999999999999</v>
      </c>
      <c r="H33" s="196">
        <v>0</v>
      </c>
      <c r="I33" s="196">
        <v>0</v>
      </c>
      <c r="J33" s="196">
        <v>0</v>
      </c>
      <c r="K33" s="196">
        <v>0</v>
      </c>
      <c r="L33" s="196">
        <v>0</v>
      </c>
      <c r="M33" s="196">
        <v>0</v>
      </c>
      <c r="N33" s="196">
        <v>1</v>
      </c>
      <c r="O33" s="196">
        <v>19.463999999999999</v>
      </c>
      <c r="P33" s="196">
        <v>0</v>
      </c>
      <c r="Q33" s="196">
        <v>0</v>
      </c>
    </row>
    <row r="34" spans="1:17">
      <c r="A34" s="1267"/>
      <c r="B34" s="1267"/>
      <c r="C34" s="395" t="s">
        <v>778</v>
      </c>
      <c r="D34" s="399">
        <v>2</v>
      </c>
      <c r="E34" s="196">
        <v>1793</v>
      </c>
      <c r="F34" s="239">
        <f t="shared" si="0"/>
        <v>1</v>
      </c>
      <c r="G34" s="239">
        <f t="shared" si="1"/>
        <v>24.54</v>
      </c>
      <c r="H34" s="196">
        <v>0</v>
      </c>
      <c r="I34" s="196">
        <v>0</v>
      </c>
      <c r="J34" s="196">
        <v>0</v>
      </c>
      <c r="K34" s="196">
        <v>0</v>
      </c>
      <c r="L34" s="196">
        <v>0</v>
      </c>
      <c r="M34" s="196">
        <v>0</v>
      </c>
      <c r="N34" s="196">
        <v>1</v>
      </c>
      <c r="O34" s="196">
        <v>24.54</v>
      </c>
      <c r="P34" s="196">
        <v>0</v>
      </c>
      <c r="Q34" s="196">
        <v>0</v>
      </c>
    </row>
    <row r="35" spans="1:17">
      <c r="A35" s="1268"/>
      <c r="B35" s="1268"/>
      <c r="C35" s="395" t="s">
        <v>779</v>
      </c>
      <c r="D35" s="399">
        <v>0</v>
      </c>
      <c r="E35" s="196">
        <v>0</v>
      </c>
      <c r="F35" s="239">
        <f t="shared" si="0"/>
        <v>0</v>
      </c>
      <c r="G35" s="239">
        <f t="shared" si="1"/>
        <v>0</v>
      </c>
      <c r="H35" s="196">
        <v>0</v>
      </c>
      <c r="I35" s="196">
        <v>0</v>
      </c>
      <c r="J35" s="196">
        <v>0</v>
      </c>
      <c r="K35" s="196">
        <v>0</v>
      </c>
      <c r="L35" s="196">
        <v>0</v>
      </c>
      <c r="M35" s="196">
        <v>0</v>
      </c>
      <c r="N35" s="196">
        <v>0</v>
      </c>
      <c r="O35" s="196">
        <v>0</v>
      </c>
      <c r="P35" s="196">
        <v>0</v>
      </c>
      <c r="Q35" s="196">
        <v>0</v>
      </c>
    </row>
    <row r="36" spans="1:17">
      <c r="A36" s="1263" t="s">
        <v>820</v>
      </c>
      <c r="B36" s="1263" t="s">
        <v>820</v>
      </c>
      <c r="C36" s="395" t="s">
        <v>780</v>
      </c>
      <c r="D36" s="399">
        <v>12</v>
      </c>
      <c r="E36" s="196">
        <v>12826.930345999999</v>
      </c>
      <c r="F36" s="239">
        <f t="shared" si="0"/>
        <v>11</v>
      </c>
      <c r="G36" s="239">
        <f t="shared" si="1"/>
        <v>4710.9324200000001</v>
      </c>
      <c r="H36" s="196">
        <v>1</v>
      </c>
      <c r="I36" s="196">
        <v>33.130000000000003</v>
      </c>
      <c r="J36" s="196">
        <v>2</v>
      </c>
      <c r="K36" s="196">
        <v>4271.8280999999997</v>
      </c>
      <c r="L36" s="196">
        <v>4</v>
      </c>
      <c r="M36" s="196">
        <v>255.05</v>
      </c>
      <c r="N36" s="196">
        <v>4</v>
      </c>
      <c r="O36" s="196">
        <v>150.92431999999999</v>
      </c>
      <c r="P36" s="196">
        <v>0</v>
      </c>
      <c r="Q36" s="196">
        <v>0</v>
      </c>
    </row>
    <row r="37" spans="1:17">
      <c r="A37" s="1265"/>
      <c r="B37" s="1265"/>
      <c r="C37" s="395" t="s">
        <v>781</v>
      </c>
      <c r="D37" s="399">
        <v>4</v>
      </c>
      <c r="E37" s="196">
        <v>2057.21</v>
      </c>
      <c r="F37" s="239">
        <f t="shared" si="0"/>
        <v>1</v>
      </c>
      <c r="G37" s="239">
        <f t="shared" si="1"/>
        <v>1151</v>
      </c>
      <c r="H37" s="196">
        <v>1</v>
      </c>
      <c r="I37" s="196">
        <v>1151</v>
      </c>
      <c r="J37" s="196">
        <v>0</v>
      </c>
      <c r="K37" s="196">
        <v>0</v>
      </c>
      <c r="L37" s="196">
        <v>0</v>
      </c>
      <c r="M37" s="196">
        <v>0</v>
      </c>
      <c r="N37" s="196">
        <v>0</v>
      </c>
      <c r="O37" s="196">
        <v>0</v>
      </c>
      <c r="P37" s="196">
        <v>0</v>
      </c>
      <c r="Q37" s="196">
        <v>0</v>
      </c>
    </row>
    <row r="38" spans="1:17">
      <c r="A38" s="1265"/>
      <c r="B38" s="1265"/>
      <c r="C38" s="395" t="s">
        <v>782</v>
      </c>
      <c r="D38" s="399">
        <v>4</v>
      </c>
      <c r="E38" s="196">
        <v>914.39506000000006</v>
      </c>
      <c r="F38" s="239">
        <f t="shared" si="0"/>
        <v>1</v>
      </c>
      <c r="G38" s="239">
        <f t="shared" si="1"/>
        <v>48.93</v>
      </c>
      <c r="H38" s="196">
        <v>0</v>
      </c>
      <c r="I38" s="196">
        <v>0</v>
      </c>
      <c r="J38" s="196">
        <v>0</v>
      </c>
      <c r="K38" s="196">
        <v>0</v>
      </c>
      <c r="L38" s="196">
        <v>0</v>
      </c>
      <c r="M38" s="196">
        <v>0</v>
      </c>
      <c r="N38" s="196">
        <v>0</v>
      </c>
      <c r="O38" s="196">
        <v>0</v>
      </c>
      <c r="P38" s="196">
        <v>1</v>
      </c>
      <c r="Q38" s="196">
        <v>48.93</v>
      </c>
    </row>
    <row r="39" spans="1:17">
      <c r="A39" s="1265"/>
      <c r="B39" s="1265"/>
      <c r="C39" s="395" t="s">
        <v>783</v>
      </c>
      <c r="D39" s="399">
        <v>1</v>
      </c>
      <c r="E39" s="196">
        <v>1171.58</v>
      </c>
      <c r="F39" s="239">
        <f t="shared" si="0"/>
        <v>1</v>
      </c>
      <c r="G39" s="239">
        <f t="shared" si="1"/>
        <v>2614.6458591999999</v>
      </c>
      <c r="H39" s="196">
        <v>0</v>
      </c>
      <c r="I39" s="196">
        <v>0</v>
      </c>
      <c r="J39" s="196">
        <v>1</v>
      </c>
      <c r="K39" s="196">
        <v>2614.6458591999999</v>
      </c>
      <c r="L39" s="196">
        <v>0</v>
      </c>
      <c r="M39" s="196">
        <v>0</v>
      </c>
      <c r="N39" s="196">
        <v>0</v>
      </c>
      <c r="O39" s="196">
        <v>0</v>
      </c>
      <c r="P39" s="196">
        <v>0</v>
      </c>
      <c r="Q39" s="196">
        <v>0</v>
      </c>
    </row>
    <row r="40" spans="1:17">
      <c r="A40" s="1264"/>
      <c r="B40" s="1264"/>
      <c r="C40" s="395" t="s">
        <v>784</v>
      </c>
      <c r="D40" s="399">
        <v>1</v>
      </c>
      <c r="E40" s="196">
        <v>49.965440000000001</v>
      </c>
      <c r="F40" s="239">
        <f t="shared" si="0"/>
        <v>0</v>
      </c>
      <c r="G40" s="239">
        <f t="shared" si="1"/>
        <v>0</v>
      </c>
      <c r="H40" s="196">
        <v>0</v>
      </c>
      <c r="I40" s="196">
        <v>0</v>
      </c>
      <c r="J40" s="196">
        <v>0</v>
      </c>
      <c r="K40" s="196">
        <v>0</v>
      </c>
      <c r="L40" s="196">
        <v>0</v>
      </c>
      <c r="M40" s="196">
        <v>0</v>
      </c>
      <c r="N40" s="196">
        <v>0</v>
      </c>
      <c r="O40" s="196">
        <v>0</v>
      </c>
      <c r="P40" s="196">
        <v>0</v>
      </c>
      <c r="Q40" s="196">
        <v>0</v>
      </c>
    </row>
    <row r="41" spans="1:17">
      <c r="A41" s="1263" t="s">
        <v>147</v>
      </c>
      <c r="B41" s="1263" t="s">
        <v>147</v>
      </c>
      <c r="C41" s="395" t="s">
        <v>785</v>
      </c>
      <c r="D41" s="399">
        <v>18</v>
      </c>
      <c r="E41" s="196">
        <v>8849.0514124000001</v>
      </c>
      <c r="F41" s="239">
        <f t="shared" si="0"/>
        <v>6</v>
      </c>
      <c r="G41" s="239">
        <f t="shared" si="1"/>
        <v>4324.4911199999997</v>
      </c>
      <c r="H41" s="196">
        <v>1</v>
      </c>
      <c r="I41" s="196">
        <v>12.07</v>
      </c>
      <c r="J41" s="196">
        <v>1</v>
      </c>
      <c r="K41" s="196">
        <v>43.161119999999997</v>
      </c>
      <c r="L41" s="196">
        <v>2</v>
      </c>
      <c r="M41" s="196">
        <v>460.49</v>
      </c>
      <c r="N41" s="196">
        <v>1</v>
      </c>
      <c r="O41" s="196">
        <v>1952.03</v>
      </c>
      <c r="P41" s="196">
        <v>1</v>
      </c>
      <c r="Q41" s="196">
        <v>1856.74</v>
      </c>
    </row>
    <row r="42" spans="1:17">
      <c r="A42" s="1265"/>
      <c r="B42" s="1265"/>
      <c r="C42" s="395" t="s">
        <v>786</v>
      </c>
      <c r="D42" s="399">
        <v>3</v>
      </c>
      <c r="E42" s="196">
        <v>88.767200000000003</v>
      </c>
      <c r="F42" s="239">
        <f t="shared" si="0"/>
        <v>2</v>
      </c>
      <c r="G42" s="239">
        <f t="shared" si="1"/>
        <v>41.832000000000001</v>
      </c>
      <c r="H42" s="196">
        <v>0</v>
      </c>
      <c r="I42" s="196">
        <v>0</v>
      </c>
      <c r="J42" s="196">
        <v>1</v>
      </c>
      <c r="K42" s="196">
        <v>12.6</v>
      </c>
      <c r="L42" s="196">
        <v>0</v>
      </c>
      <c r="M42" s="196">
        <v>0</v>
      </c>
      <c r="N42" s="196">
        <v>0</v>
      </c>
      <c r="O42" s="196">
        <v>0</v>
      </c>
      <c r="P42" s="196">
        <v>1</v>
      </c>
      <c r="Q42" s="196">
        <v>29.231999999999999</v>
      </c>
    </row>
    <row r="43" spans="1:17">
      <c r="A43" s="1264"/>
      <c r="B43" s="1264"/>
      <c r="C43" s="395" t="s">
        <v>787</v>
      </c>
      <c r="D43" s="399">
        <v>10</v>
      </c>
      <c r="E43" s="196">
        <v>2250.5</v>
      </c>
      <c r="F43" s="239">
        <f t="shared" si="0"/>
        <v>2</v>
      </c>
      <c r="G43" s="239">
        <f t="shared" si="1"/>
        <v>1883.0060000000001</v>
      </c>
      <c r="H43" s="196">
        <v>0</v>
      </c>
      <c r="I43" s="196">
        <v>0</v>
      </c>
      <c r="J43" s="196">
        <v>1</v>
      </c>
      <c r="K43" s="196">
        <v>1841.75</v>
      </c>
      <c r="L43" s="196">
        <v>0</v>
      </c>
      <c r="M43" s="196">
        <v>0</v>
      </c>
      <c r="N43" s="196">
        <v>1</v>
      </c>
      <c r="O43" s="196">
        <v>41.256</v>
      </c>
      <c r="P43" s="196">
        <v>0</v>
      </c>
      <c r="Q43" s="196">
        <v>0</v>
      </c>
    </row>
    <row r="44" spans="1:17">
      <c r="A44" s="1263" t="s">
        <v>821</v>
      </c>
      <c r="B44" s="404" t="s">
        <v>822</v>
      </c>
      <c r="C44" s="395" t="s">
        <v>788</v>
      </c>
      <c r="D44" s="399">
        <v>12</v>
      </c>
      <c r="E44" s="196">
        <v>770.89711699999998</v>
      </c>
      <c r="F44" s="239">
        <f t="shared" si="0"/>
        <v>13</v>
      </c>
      <c r="G44" s="239">
        <f t="shared" si="1"/>
        <v>2953.9146799999999</v>
      </c>
      <c r="H44" s="196">
        <v>4</v>
      </c>
      <c r="I44" s="196">
        <v>565.13648000000001</v>
      </c>
      <c r="J44" s="196">
        <v>1</v>
      </c>
      <c r="K44" s="196">
        <v>23.364000000000001</v>
      </c>
      <c r="L44" s="196">
        <v>0</v>
      </c>
      <c r="M44" s="196">
        <v>0</v>
      </c>
      <c r="N44" s="196">
        <v>4</v>
      </c>
      <c r="O44" s="196">
        <v>393.06100000000004</v>
      </c>
      <c r="P44" s="196">
        <v>4</v>
      </c>
      <c r="Q44" s="196">
        <v>1972.3532</v>
      </c>
    </row>
    <row r="45" spans="1:17">
      <c r="A45" s="1265"/>
      <c r="B45" s="1263" t="s">
        <v>823</v>
      </c>
      <c r="C45" s="395" t="s">
        <v>789</v>
      </c>
      <c r="D45" s="399">
        <v>2</v>
      </c>
      <c r="E45" s="196">
        <v>653.04</v>
      </c>
      <c r="F45" s="239">
        <f t="shared" si="0"/>
        <v>1</v>
      </c>
      <c r="G45" s="239">
        <f t="shared" si="1"/>
        <v>5.58</v>
      </c>
      <c r="H45" s="196">
        <v>0</v>
      </c>
      <c r="I45" s="196">
        <v>0</v>
      </c>
      <c r="J45" s="196">
        <v>0</v>
      </c>
      <c r="K45" s="196">
        <v>0</v>
      </c>
      <c r="L45" s="196">
        <v>0</v>
      </c>
      <c r="M45" s="196">
        <v>0</v>
      </c>
      <c r="N45" s="196">
        <v>0</v>
      </c>
      <c r="O45" s="196">
        <v>0</v>
      </c>
      <c r="P45" s="196">
        <v>1</v>
      </c>
      <c r="Q45" s="196">
        <v>5.58</v>
      </c>
    </row>
    <row r="46" spans="1:17" ht="15" customHeight="1">
      <c r="A46" s="1265"/>
      <c r="B46" s="1265"/>
      <c r="C46" s="400" t="s">
        <v>790</v>
      </c>
      <c r="D46" s="399">
        <v>0</v>
      </c>
      <c r="E46" s="196">
        <v>0</v>
      </c>
      <c r="F46" s="239">
        <f t="shared" si="0"/>
        <v>1</v>
      </c>
      <c r="G46" s="239">
        <f t="shared" si="1"/>
        <v>49.07</v>
      </c>
      <c r="H46" s="196">
        <v>0</v>
      </c>
      <c r="I46" s="196">
        <v>0</v>
      </c>
      <c r="J46" s="196">
        <v>0</v>
      </c>
      <c r="K46" s="196">
        <v>0</v>
      </c>
      <c r="L46" s="196">
        <v>1</v>
      </c>
      <c r="M46" s="196">
        <v>49.07</v>
      </c>
      <c r="N46" s="196">
        <v>0</v>
      </c>
      <c r="O46" s="196">
        <v>0</v>
      </c>
      <c r="P46" s="196">
        <v>0</v>
      </c>
      <c r="Q46" s="196">
        <v>0</v>
      </c>
    </row>
    <row r="47" spans="1:17">
      <c r="A47" s="1265"/>
      <c r="B47" s="1265"/>
      <c r="C47" s="395" t="s">
        <v>791</v>
      </c>
      <c r="D47" s="399">
        <v>16</v>
      </c>
      <c r="E47" s="196">
        <v>3342.4780930000002</v>
      </c>
      <c r="F47" s="239">
        <f t="shared" si="0"/>
        <v>5</v>
      </c>
      <c r="G47" s="239">
        <f t="shared" si="1"/>
        <v>353.63286499999998</v>
      </c>
      <c r="H47" s="196">
        <v>0</v>
      </c>
      <c r="I47" s="196">
        <v>0</v>
      </c>
      <c r="J47" s="196">
        <v>1</v>
      </c>
      <c r="K47" s="196">
        <v>174.63106500000001</v>
      </c>
      <c r="L47" s="196">
        <v>1</v>
      </c>
      <c r="M47" s="196">
        <v>30.7944</v>
      </c>
      <c r="N47" s="196">
        <v>2</v>
      </c>
      <c r="O47" s="196">
        <v>116.84</v>
      </c>
      <c r="P47" s="196">
        <v>1</v>
      </c>
      <c r="Q47" s="196">
        <v>31.3674</v>
      </c>
    </row>
    <row r="48" spans="1:17">
      <c r="A48" s="1265"/>
      <c r="B48" s="1265"/>
      <c r="C48" s="395" t="s">
        <v>792</v>
      </c>
      <c r="D48" s="399">
        <v>13</v>
      </c>
      <c r="E48" s="196">
        <v>2010.2531999999999</v>
      </c>
      <c r="F48" s="239">
        <f t="shared" si="0"/>
        <v>10</v>
      </c>
      <c r="G48" s="239">
        <f t="shared" si="1"/>
        <v>1351.0497280000002</v>
      </c>
      <c r="H48" s="196">
        <v>3</v>
      </c>
      <c r="I48" s="196">
        <v>666.32</v>
      </c>
      <c r="J48" s="196">
        <v>2</v>
      </c>
      <c r="K48" s="196">
        <v>51.0916</v>
      </c>
      <c r="L48" s="196">
        <v>2</v>
      </c>
      <c r="M48" s="196">
        <v>505.02728000000002</v>
      </c>
      <c r="N48" s="196">
        <v>3</v>
      </c>
      <c r="O48" s="196">
        <v>128.610848</v>
      </c>
      <c r="P48" s="196">
        <v>0</v>
      </c>
      <c r="Q48" s="196">
        <v>0</v>
      </c>
    </row>
    <row r="49" spans="1:17">
      <c r="A49" s="1264"/>
      <c r="B49" s="1264"/>
      <c r="C49" s="395" t="s">
        <v>793</v>
      </c>
      <c r="D49" s="399">
        <v>43</v>
      </c>
      <c r="E49" s="196">
        <v>6129.4286200000006</v>
      </c>
      <c r="F49" s="239">
        <f t="shared" si="0"/>
        <v>17</v>
      </c>
      <c r="G49" s="239">
        <f t="shared" si="1"/>
        <v>1197.9416871999999</v>
      </c>
      <c r="H49" s="196">
        <v>3</v>
      </c>
      <c r="I49" s="196">
        <v>134.09199999999998</v>
      </c>
      <c r="J49" s="196">
        <v>3</v>
      </c>
      <c r="K49" s="196">
        <v>59.557999999999993</v>
      </c>
      <c r="L49" s="196">
        <v>2</v>
      </c>
      <c r="M49" s="196">
        <v>100.35599999999999</v>
      </c>
      <c r="N49" s="196">
        <v>4</v>
      </c>
      <c r="O49" s="196">
        <v>801.15458719999992</v>
      </c>
      <c r="P49" s="196">
        <v>5</v>
      </c>
      <c r="Q49" s="196">
        <v>102.7811</v>
      </c>
    </row>
    <row r="50" spans="1:17">
      <c r="A50" s="1263" t="s">
        <v>824</v>
      </c>
      <c r="B50" s="1263" t="s">
        <v>824</v>
      </c>
      <c r="C50" s="395" t="s">
        <v>794</v>
      </c>
      <c r="D50" s="399">
        <v>10</v>
      </c>
      <c r="E50" s="196">
        <v>302.71300000000002</v>
      </c>
      <c r="F50" s="239">
        <f t="shared" si="0"/>
        <v>4</v>
      </c>
      <c r="G50" s="239">
        <f t="shared" si="1"/>
        <v>393.02388959999996</v>
      </c>
      <c r="H50" s="196">
        <v>2</v>
      </c>
      <c r="I50" s="196">
        <v>93.441959999999995</v>
      </c>
      <c r="J50" s="196">
        <v>0</v>
      </c>
      <c r="K50" s="196">
        <v>0</v>
      </c>
      <c r="L50" s="196">
        <v>0</v>
      </c>
      <c r="M50" s="196">
        <v>0</v>
      </c>
      <c r="N50" s="196">
        <v>0</v>
      </c>
      <c r="O50" s="196">
        <v>0</v>
      </c>
      <c r="P50" s="196">
        <v>2</v>
      </c>
      <c r="Q50" s="196">
        <v>299.58192959999997</v>
      </c>
    </row>
    <row r="51" spans="1:17">
      <c r="A51" s="1265"/>
      <c r="B51" s="1265"/>
      <c r="C51" s="395" t="s">
        <v>795</v>
      </c>
      <c r="D51" s="399">
        <v>15</v>
      </c>
      <c r="E51" s="196">
        <v>4756.0068719999999</v>
      </c>
      <c r="F51" s="239">
        <f t="shared" si="0"/>
        <v>5</v>
      </c>
      <c r="G51" s="239">
        <f t="shared" si="1"/>
        <v>309.37998519999996</v>
      </c>
      <c r="H51" s="196">
        <v>0</v>
      </c>
      <c r="I51" s="196">
        <v>0</v>
      </c>
      <c r="J51" s="196">
        <v>1</v>
      </c>
      <c r="K51" s="196">
        <v>49.4</v>
      </c>
      <c r="L51" s="196">
        <v>2</v>
      </c>
      <c r="M51" s="196">
        <v>33.22</v>
      </c>
      <c r="N51" s="196">
        <v>0</v>
      </c>
      <c r="O51" s="196">
        <v>0</v>
      </c>
      <c r="P51" s="196">
        <v>2</v>
      </c>
      <c r="Q51" s="196">
        <v>226.75998519999999</v>
      </c>
    </row>
    <row r="52" spans="1:17">
      <c r="A52" s="1264"/>
      <c r="B52" s="1264"/>
      <c r="C52" s="395" t="s">
        <v>796</v>
      </c>
      <c r="D52" s="399">
        <v>5</v>
      </c>
      <c r="E52" s="196">
        <v>1311.6339999999998</v>
      </c>
      <c r="F52" s="239">
        <f t="shared" si="0"/>
        <v>2</v>
      </c>
      <c r="G52" s="239">
        <f t="shared" si="1"/>
        <v>35.18</v>
      </c>
      <c r="H52" s="196">
        <v>0</v>
      </c>
      <c r="I52" s="196">
        <v>0</v>
      </c>
      <c r="J52" s="196">
        <v>2</v>
      </c>
      <c r="K52" s="196">
        <v>35.18</v>
      </c>
      <c r="L52" s="196">
        <v>0</v>
      </c>
      <c r="M52" s="196">
        <v>0</v>
      </c>
      <c r="N52" s="196">
        <v>0</v>
      </c>
      <c r="O52" s="196">
        <v>0</v>
      </c>
      <c r="P52" s="196">
        <v>0</v>
      </c>
      <c r="Q52" s="196">
        <v>0</v>
      </c>
    </row>
    <row r="53" spans="1:17">
      <c r="A53" s="1263" t="s">
        <v>825</v>
      </c>
      <c r="B53" s="1263" t="s">
        <v>825</v>
      </c>
      <c r="C53" s="395" t="s">
        <v>797</v>
      </c>
      <c r="D53" s="399">
        <v>0</v>
      </c>
      <c r="E53" s="196">
        <v>0</v>
      </c>
      <c r="F53" s="239">
        <f t="shared" si="0"/>
        <v>0</v>
      </c>
      <c r="G53" s="239">
        <f t="shared" si="1"/>
        <v>0</v>
      </c>
      <c r="H53" s="196">
        <v>0</v>
      </c>
      <c r="I53" s="196">
        <v>0</v>
      </c>
      <c r="J53" s="196">
        <v>0</v>
      </c>
      <c r="K53" s="196">
        <v>0</v>
      </c>
      <c r="L53" s="196">
        <v>0</v>
      </c>
      <c r="M53" s="196">
        <v>0</v>
      </c>
      <c r="N53" s="196">
        <v>0</v>
      </c>
      <c r="O53" s="196">
        <v>0</v>
      </c>
      <c r="P53" s="196">
        <v>0</v>
      </c>
      <c r="Q53" s="196">
        <v>0</v>
      </c>
    </row>
    <row r="54" spans="1:17">
      <c r="A54" s="1265"/>
      <c r="B54" s="1265"/>
      <c r="C54" s="395" t="s">
        <v>798</v>
      </c>
      <c r="D54" s="399">
        <v>13</v>
      </c>
      <c r="E54" s="196">
        <v>1336.1109836000001</v>
      </c>
      <c r="F54" s="239">
        <f t="shared" si="0"/>
        <v>5</v>
      </c>
      <c r="G54" s="239">
        <f t="shared" si="1"/>
        <v>219.31620000000001</v>
      </c>
      <c r="H54" s="196">
        <v>1</v>
      </c>
      <c r="I54" s="196">
        <v>5.6</v>
      </c>
      <c r="J54" s="196">
        <v>2</v>
      </c>
      <c r="K54" s="196">
        <v>136.64580000000001</v>
      </c>
      <c r="L54" s="196">
        <v>0</v>
      </c>
      <c r="M54" s="196">
        <v>0</v>
      </c>
      <c r="N54" s="196">
        <v>0</v>
      </c>
      <c r="O54" s="196">
        <v>0</v>
      </c>
      <c r="P54" s="196">
        <v>2</v>
      </c>
      <c r="Q54" s="196">
        <v>77.070400000000006</v>
      </c>
    </row>
    <row r="55" spans="1:17">
      <c r="A55" s="1265"/>
      <c r="B55" s="1265"/>
      <c r="C55" s="395" t="s">
        <v>799</v>
      </c>
      <c r="D55" s="399">
        <v>1</v>
      </c>
      <c r="E55" s="196">
        <v>2800</v>
      </c>
      <c r="F55" s="239">
        <f t="shared" si="0"/>
        <v>1</v>
      </c>
      <c r="G55" s="239">
        <f t="shared" si="1"/>
        <v>28</v>
      </c>
      <c r="H55" s="196">
        <v>0</v>
      </c>
      <c r="I55" s="196">
        <v>0</v>
      </c>
      <c r="J55" s="196">
        <v>1</v>
      </c>
      <c r="K55" s="196">
        <v>28</v>
      </c>
      <c r="L55" s="196">
        <v>0</v>
      </c>
      <c r="M55" s="196">
        <v>0</v>
      </c>
      <c r="N55" s="196">
        <v>0</v>
      </c>
      <c r="O55" s="196">
        <v>0</v>
      </c>
      <c r="P55" s="196">
        <v>0</v>
      </c>
      <c r="Q55" s="196">
        <v>0</v>
      </c>
    </row>
    <row r="56" spans="1:17">
      <c r="A56" s="1265"/>
      <c r="B56" s="1265"/>
      <c r="C56" s="395" t="s">
        <v>800</v>
      </c>
      <c r="D56" s="399">
        <v>19</v>
      </c>
      <c r="E56" s="196">
        <v>1437.8788473000002</v>
      </c>
      <c r="F56" s="239">
        <f t="shared" si="0"/>
        <v>17</v>
      </c>
      <c r="G56" s="239">
        <f t="shared" si="1"/>
        <v>1274.08226874</v>
      </c>
      <c r="H56" s="196">
        <v>2</v>
      </c>
      <c r="I56" s="196">
        <v>28.043999999999997</v>
      </c>
      <c r="J56" s="196">
        <v>4</v>
      </c>
      <c r="K56" s="196">
        <v>700.16846780000003</v>
      </c>
      <c r="L56" s="196">
        <v>4</v>
      </c>
      <c r="M56" s="196">
        <v>269.46960000000001</v>
      </c>
      <c r="N56" s="196">
        <v>3</v>
      </c>
      <c r="O56" s="196">
        <v>99.226189599999998</v>
      </c>
      <c r="P56" s="196">
        <v>4</v>
      </c>
      <c r="Q56" s="196">
        <v>177.17401133999999</v>
      </c>
    </row>
    <row r="57" spans="1:17">
      <c r="A57" s="1264"/>
      <c r="B57" s="1264"/>
      <c r="C57" s="395" t="s">
        <v>801</v>
      </c>
      <c r="D57" s="399">
        <v>0</v>
      </c>
      <c r="E57" s="196">
        <v>0</v>
      </c>
      <c r="F57" s="239">
        <f t="shared" si="0"/>
        <v>0</v>
      </c>
      <c r="G57" s="239">
        <f t="shared" si="1"/>
        <v>0</v>
      </c>
      <c r="H57" s="196">
        <v>0</v>
      </c>
      <c r="I57" s="196">
        <v>0</v>
      </c>
      <c r="J57" s="196">
        <v>0</v>
      </c>
      <c r="K57" s="196">
        <v>0</v>
      </c>
      <c r="L57" s="196">
        <v>0</v>
      </c>
      <c r="M57" s="196">
        <v>0</v>
      </c>
      <c r="N57" s="196">
        <v>0</v>
      </c>
      <c r="O57" s="196">
        <v>0</v>
      </c>
      <c r="P57" s="196">
        <v>0</v>
      </c>
      <c r="Q57" s="196">
        <v>0</v>
      </c>
    </row>
    <row r="58" spans="1:17">
      <c r="A58" s="1263" t="s">
        <v>826</v>
      </c>
      <c r="B58" s="1263" t="s">
        <v>826</v>
      </c>
      <c r="C58" s="395" t="s">
        <v>802</v>
      </c>
      <c r="D58" s="399">
        <v>4</v>
      </c>
      <c r="E58" s="196">
        <v>134.93</v>
      </c>
      <c r="F58" s="239">
        <f t="shared" si="0"/>
        <v>4</v>
      </c>
      <c r="G58" s="239">
        <f t="shared" si="1"/>
        <v>22724.9899993</v>
      </c>
      <c r="H58" s="196">
        <v>2</v>
      </c>
      <c r="I58" s="196">
        <v>22274.999999299998</v>
      </c>
      <c r="J58" s="196">
        <v>0</v>
      </c>
      <c r="K58" s="196">
        <v>0</v>
      </c>
      <c r="L58" s="196">
        <v>0</v>
      </c>
      <c r="M58" s="196">
        <v>0</v>
      </c>
      <c r="N58" s="196">
        <v>2</v>
      </c>
      <c r="O58" s="196">
        <v>449.99</v>
      </c>
      <c r="P58" s="196">
        <v>0</v>
      </c>
      <c r="Q58" s="196">
        <v>0</v>
      </c>
    </row>
    <row r="59" spans="1:17">
      <c r="A59" s="1264"/>
      <c r="B59" s="1264"/>
      <c r="C59" s="395" t="s">
        <v>803</v>
      </c>
      <c r="D59" s="399">
        <v>0</v>
      </c>
      <c r="E59" s="196">
        <v>0</v>
      </c>
      <c r="F59" s="239">
        <f t="shared" si="0"/>
        <v>0</v>
      </c>
      <c r="G59" s="239">
        <f t="shared" si="1"/>
        <v>0</v>
      </c>
      <c r="H59" s="196">
        <v>0</v>
      </c>
      <c r="I59" s="196">
        <v>0</v>
      </c>
      <c r="J59" s="196">
        <v>0</v>
      </c>
      <c r="K59" s="196">
        <v>0</v>
      </c>
      <c r="L59" s="196">
        <v>0</v>
      </c>
      <c r="M59" s="196">
        <v>0</v>
      </c>
      <c r="N59" s="196">
        <v>0</v>
      </c>
      <c r="O59" s="196">
        <v>0</v>
      </c>
      <c r="P59" s="196">
        <v>0</v>
      </c>
      <c r="Q59" s="196">
        <v>0</v>
      </c>
    </row>
    <row r="60" spans="1:17">
      <c r="A60" s="1263" t="s">
        <v>827</v>
      </c>
      <c r="B60" s="404" t="s">
        <v>148</v>
      </c>
      <c r="C60" s="395" t="s">
        <v>804</v>
      </c>
      <c r="D60" s="399">
        <v>3</v>
      </c>
      <c r="E60" s="196">
        <v>273.99879440000001</v>
      </c>
      <c r="F60" s="239">
        <f t="shared" si="0"/>
        <v>1</v>
      </c>
      <c r="G60" s="239">
        <f t="shared" si="1"/>
        <v>48.300651000000002</v>
      </c>
      <c r="H60" s="196">
        <v>0</v>
      </c>
      <c r="I60" s="196">
        <v>0</v>
      </c>
      <c r="J60" s="196">
        <v>0</v>
      </c>
      <c r="K60" s="196">
        <v>0</v>
      </c>
      <c r="L60" s="196">
        <v>0</v>
      </c>
      <c r="M60" s="196">
        <v>0</v>
      </c>
      <c r="N60" s="196">
        <v>0</v>
      </c>
      <c r="O60" s="196">
        <v>0</v>
      </c>
      <c r="P60" s="196">
        <v>1</v>
      </c>
      <c r="Q60" s="196">
        <v>48.300651000000002</v>
      </c>
    </row>
    <row r="61" spans="1:17">
      <c r="A61" s="1264"/>
      <c r="B61" s="404" t="s">
        <v>827</v>
      </c>
      <c r="C61" s="395" t="s">
        <v>805</v>
      </c>
      <c r="D61" s="399">
        <v>4</v>
      </c>
      <c r="E61" s="196">
        <v>435.47</v>
      </c>
      <c r="F61" s="239">
        <f t="shared" si="0"/>
        <v>4</v>
      </c>
      <c r="G61" s="239">
        <f t="shared" si="1"/>
        <v>194.70615999999998</v>
      </c>
      <c r="H61" s="196">
        <v>0</v>
      </c>
      <c r="I61" s="196">
        <v>0</v>
      </c>
      <c r="J61" s="196">
        <v>0</v>
      </c>
      <c r="K61" s="196">
        <v>0</v>
      </c>
      <c r="L61" s="196">
        <v>2</v>
      </c>
      <c r="M61" s="196">
        <v>82.223199999999991</v>
      </c>
      <c r="N61" s="196">
        <v>2</v>
      </c>
      <c r="O61" s="196">
        <v>112.48295999999999</v>
      </c>
      <c r="P61" s="196">
        <v>0</v>
      </c>
      <c r="Q61" s="196">
        <v>0</v>
      </c>
    </row>
    <row r="62" spans="1:17">
      <c r="A62" s="404" t="s">
        <v>828</v>
      </c>
      <c r="B62" s="404" t="s">
        <v>828</v>
      </c>
      <c r="C62" s="395" t="s">
        <v>806</v>
      </c>
      <c r="D62" s="399">
        <v>0</v>
      </c>
      <c r="E62" s="196">
        <v>0</v>
      </c>
      <c r="F62" s="239">
        <f t="shared" si="0"/>
        <v>1</v>
      </c>
      <c r="G62" s="239">
        <f t="shared" si="1"/>
        <v>6.96</v>
      </c>
      <c r="H62" s="196">
        <v>0</v>
      </c>
      <c r="I62" s="196">
        <v>0</v>
      </c>
      <c r="J62" s="196">
        <v>0</v>
      </c>
      <c r="K62" s="196">
        <v>0</v>
      </c>
      <c r="L62" s="196">
        <v>1</v>
      </c>
      <c r="M62" s="196">
        <v>6.96</v>
      </c>
      <c r="N62" s="196">
        <v>0</v>
      </c>
      <c r="O62" s="196">
        <v>0</v>
      </c>
      <c r="P62" s="196">
        <v>0</v>
      </c>
      <c r="Q62" s="196">
        <v>0</v>
      </c>
    </row>
    <row r="63" spans="1:17">
      <c r="A63" s="212"/>
      <c r="B63" s="212"/>
      <c r="C63" s="442" t="s">
        <v>96</v>
      </c>
      <c r="D63" s="443">
        <f>SUM(D4:D62)</f>
        <v>340</v>
      </c>
      <c r="E63" s="444">
        <f>SUM(E4:E62)</f>
        <v>83092.516240000012</v>
      </c>
      <c r="F63" s="444">
        <f>SUM(F4:F62)</f>
        <v>195</v>
      </c>
      <c r="G63" s="444">
        <f>SUM(G4:G62)</f>
        <v>69041.111991706013</v>
      </c>
      <c r="H63" s="444">
        <f>SUM(H4:H62)</f>
        <v>35</v>
      </c>
      <c r="I63" s="444">
        <f t="shared" ref="I63:Q63" si="2">SUM(I4:I62)</f>
        <v>25370.5668319</v>
      </c>
      <c r="J63" s="444">
        <f t="shared" si="2"/>
        <v>38</v>
      </c>
      <c r="K63" s="444">
        <f t="shared" si="2"/>
        <v>12288.583472799999</v>
      </c>
      <c r="L63" s="444">
        <f t="shared" si="2"/>
        <v>38</v>
      </c>
      <c r="M63" s="444">
        <f t="shared" si="2"/>
        <v>3571.1979999999999</v>
      </c>
      <c r="N63" s="444">
        <f t="shared" si="2"/>
        <v>42</v>
      </c>
      <c r="O63" s="444">
        <f t="shared" si="2"/>
        <v>9001.1008531000007</v>
      </c>
      <c r="P63" s="444">
        <f t="shared" si="2"/>
        <v>42</v>
      </c>
      <c r="Q63" s="444">
        <f t="shared" si="2"/>
        <v>18809.662833906004</v>
      </c>
    </row>
    <row r="64" spans="1:17" s="331" customFormat="1">
      <c r="A64" s="4"/>
      <c r="B64" s="4"/>
      <c r="C64" s="405"/>
      <c r="D64" s="406"/>
      <c r="E64" s="407"/>
      <c r="F64" s="541"/>
      <c r="G64" s="541"/>
      <c r="H64" s="407"/>
      <c r="I64" s="407"/>
    </row>
    <row r="65" spans="1:15" ht="15" customHeight="1">
      <c r="A65" s="394" t="s">
        <v>829</v>
      </c>
      <c r="B65" s="394"/>
      <c r="C65" s="394"/>
      <c r="D65" s="394"/>
      <c r="E65" s="394"/>
      <c r="F65" s="542"/>
      <c r="G65" s="542"/>
      <c r="H65" s="394"/>
      <c r="I65" s="394"/>
      <c r="J65" s="394"/>
      <c r="K65" s="394"/>
      <c r="L65" s="394"/>
      <c r="M65" s="394"/>
      <c r="N65" s="394"/>
      <c r="O65" s="394"/>
    </row>
    <row r="66" spans="1:15">
      <c r="A66" s="258" t="s">
        <v>143</v>
      </c>
      <c r="H66" s="21"/>
      <c r="I66" s="21"/>
    </row>
  </sheetData>
  <sortState ref="A4:G26">
    <sortCondition ref="A4:A26"/>
  </sortState>
  <mergeCells count="42">
    <mergeCell ref="X2:Y2"/>
    <mergeCell ref="Z2:AA2"/>
    <mergeCell ref="AB2:AC2"/>
    <mergeCell ref="AD2:AE2"/>
    <mergeCell ref="N2:O2"/>
    <mergeCell ref="P2:Q2"/>
    <mergeCell ref="R2:S2"/>
    <mergeCell ref="T2:U2"/>
    <mergeCell ref="V2:W2"/>
    <mergeCell ref="J2:K2"/>
    <mergeCell ref="A14:A24"/>
    <mergeCell ref="B14:B15"/>
    <mergeCell ref="B18:B20"/>
    <mergeCell ref="B22:B24"/>
    <mergeCell ref="A25:A28"/>
    <mergeCell ref="B25:B28"/>
    <mergeCell ref="H2:I2"/>
    <mergeCell ref="A4:A13"/>
    <mergeCell ref="B4:B5"/>
    <mergeCell ref="B6:B7"/>
    <mergeCell ref="B8:B12"/>
    <mergeCell ref="A2:A3"/>
    <mergeCell ref="D2:E2"/>
    <mergeCell ref="F2:G2"/>
    <mergeCell ref="B2:B3"/>
    <mergeCell ref="C2:C3"/>
    <mergeCell ref="L2:M2"/>
    <mergeCell ref="A58:A59"/>
    <mergeCell ref="B58:B59"/>
    <mergeCell ref="A60:A61"/>
    <mergeCell ref="A44:A49"/>
    <mergeCell ref="B45:B49"/>
    <mergeCell ref="A50:A52"/>
    <mergeCell ref="B50:B52"/>
    <mergeCell ref="A53:A57"/>
    <mergeCell ref="B53:B57"/>
    <mergeCell ref="A29:A35"/>
    <mergeCell ref="B29:B35"/>
    <mergeCell ref="A36:A40"/>
    <mergeCell ref="B36:B40"/>
    <mergeCell ref="A41:A43"/>
    <mergeCell ref="B41:B43"/>
  </mergeCells>
  <printOptions horizontalCentered="1"/>
  <pageMargins left="0.7" right="0.7" top="0.75" bottom="0.75" header="0.3" footer="0.3"/>
  <pageSetup paperSize="9" scale="90" fitToHeight="0" orientation="landscape" r:id="rId1"/>
  <rowBreaks count="1" manualBreakCount="1">
    <brk id="35" max="10"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pageSetUpPr fitToPage="1"/>
  </sheetPr>
  <dimension ref="A1:U33"/>
  <sheetViews>
    <sheetView workbookViewId="0">
      <selection sqref="A1:Q1"/>
    </sheetView>
  </sheetViews>
  <sheetFormatPr defaultRowHeight="15"/>
  <sheetData>
    <row r="1" spans="1:21">
      <c r="A1" s="1275" t="s">
        <v>5</v>
      </c>
      <c r="B1" s="1276"/>
      <c r="C1" s="1276"/>
      <c r="D1" s="1276"/>
      <c r="E1" s="1276"/>
      <c r="F1" s="1276"/>
      <c r="G1" s="1276"/>
      <c r="H1" s="1276"/>
      <c r="I1" s="1276"/>
      <c r="J1" s="1276"/>
      <c r="K1" s="1276"/>
      <c r="L1" s="1276"/>
      <c r="M1" s="1276"/>
      <c r="N1" s="1276"/>
      <c r="O1" s="1276"/>
      <c r="P1" s="1276"/>
      <c r="Q1" s="1277"/>
      <c r="R1" s="56"/>
      <c r="S1" s="56"/>
    </row>
    <row r="2" spans="1:21">
      <c r="A2" s="1278" t="s">
        <v>116</v>
      </c>
      <c r="B2" s="1280" t="s">
        <v>96</v>
      </c>
      <c r="C2" s="1280"/>
      <c r="D2" s="1280" t="s">
        <v>150</v>
      </c>
      <c r="E2" s="1280"/>
      <c r="F2" s="1280"/>
      <c r="G2" s="1280"/>
      <c r="H2" s="1280" t="s">
        <v>151</v>
      </c>
      <c r="I2" s="1280"/>
      <c r="J2" s="1280"/>
      <c r="K2" s="1280"/>
      <c r="L2" s="1280"/>
      <c r="M2" s="1280"/>
      <c r="N2" s="1280"/>
      <c r="O2" s="1280"/>
      <c r="P2" s="1280"/>
      <c r="Q2" s="1280"/>
      <c r="R2" s="57"/>
      <c r="S2" s="57"/>
    </row>
    <row r="3" spans="1:21">
      <c r="A3" s="1279"/>
      <c r="B3" s="1281"/>
      <c r="C3" s="1281"/>
      <c r="D3" s="1281" t="s">
        <v>152</v>
      </c>
      <c r="E3" s="1281"/>
      <c r="F3" s="1281" t="s">
        <v>138</v>
      </c>
      <c r="G3" s="1281"/>
      <c r="H3" s="1281" t="s">
        <v>153</v>
      </c>
      <c r="I3" s="1281"/>
      <c r="J3" s="1281" t="s">
        <v>154</v>
      </c>
      <c r="K3" s="1281"/>
      <c r="L3" s="1281" t="s">
        <v>155</v>
      </c>
      <c r="M3" s="1281"/>
      <c r="N3" s="1281" t="s">
        <v>156</v>
      </c>
      <c r="O3" s="1281"/>
      <c r="P3" s="1281" t="s">
        <v>157</v>
      </c>
      <c r="Q3" s="1281"/>
      <c r="R3" s="57"/>
      <c r="S3" s="57"/>
    </row>
    <row r="4" spans="1:21" ht="30">
      <c r="A4" s="1279"/>
      <c r="B4" s="53" t="s">
        <v>141</v>
      </c>
      <c r="C4" s="53" t="s">
        <v>1411</v>
      </c>
      <c r="D4" s="53" t="s">
        <v>141</v>
      </c>
      <c r="E4" s="53" t="s">
        <v>1411</v>
      </c>
      <c r="F4" s="53" t="s">
        <v>141</v>
      </c>
      <c r="G4" s="53" t="s">
        <v>1411</v>
      </c>
      <c r="H4" s="53" t="s">
        <v>141</v>
      </c>
      <c r="I4" s="53" t="s">
        <v>1411</v>
      </c>
      <c r="J4" s="53" t="s">
        <v>141</v>
      </c>
      <c r="K4" s="53" t="s">
        <v>1411</v>
      </c>
      <c r="L4" s="53" t="s">
        <v>141</v>
      </c>
      <c r="M4" s="53" t="s">
        <v>1411</v>
      </c>
      <c r="N4" s="53" t="s">
        <v>141</v>
      </c>
      <c r="O4" s="53" t="s">
        <v>1411</v>
      </c>
      <c r="P4" s="53" t="s">
        <v>141</v>
      </c>
      <c r="Q4" s="53" t="s">
        <v>1411</v>
      </c>
      <c r="R4" s="58"/>
      <c r="S4" s="58"/>
    </row>
    <row r="5" spans="1:21">
      <c r="A5" s="422" t="s">
        <v>518</v>
      </c>
      <c r="B5" s="353">
        <v>340</v>
      </c>
      <c r="C5" s="353">
        <v>83091.975847599984</v>
      </c>
      <c r="D5" s="353">
        <v>337</v>
      </c>
      <c r="E5" s="353">
        <v>80426.091544199997</v>
      </c>
      <c r="F5" s="353">
        <v>2</v>
      </c>
      <c r="G5" s="353">
        <v>2639.41</v>
      </c>
      <c r="H5" s="353">
        <v>72</v>
      </c>
      <c r="I5" s="353">
        <v>32405.593709199999</v>
      </c>
      <c r="J5" s="353">
        <v>16</v>
      </c>
      <c r="K5" s="353">
        <v>2306.4180996999999</v>
      </c>
      <c r="L5" s="353">
        <v>195</v>
      </c>
      <c r="M5" s="353">
        <v>37193.107738699997</v>
      </c>
      <c r="N5" s="353">
        <v>50</v>
      </c>
      <c r="O5" s="353">
        <v>10340.569020000001</v>
      </c>
      <c r="P5" s="353">
        <v>7</v>
      </c>
      <c r="Q5" s="353">
        <v>846.28728000000001</v>
      </c>
      <c r="R5" s="59"/>
      <c r="S5" s="59"/>
    </row>
    <row r="6" spans="1:21">
      <c r="A6" s="423" t="s">
        <v>743</v>
      </c>
      <c r="B6" s="1182">
        <f t="shared" ref="B6:C10" si="0">SUM(H6,J6,L6,N6,P6)</f>
        <v>195</v>
      </c>
      <c r="C6" s="1182">
        <f t="shared" si="0"/>
        <v>69041.111991706013</v>
      </c>
      <c r="D6" s="246">
        <f t="shared" ref="D6:Q6" si="1">SUM(D7:D18)</f>
        <v>195</v>
      </c>
      <c r="E6" s="246">
        <f t="shared" si="1"/>
        <v>69041.111991706013</v>
      </c>
      <c r="F6" s="246">
        <f t="shared" si="1"/>
        <v>0</v>
      </c>
      <c r="G6" s="246">
        <f t="shared" si="1"/>
        <v>0</v>
      </c>
      <c r="H6" s="246">
        <f t="shared" si="1"/>
        <v>47</v>
      </c>
      <c r="I6" s="246">
        <f t="shared" si="1"/>
        <v>13987.790128666005</v>
      </c>
      <c r="J6" s="246">
        <f t="shared" si="1"/>
        <v>14</v>
      </c>
      <c r="K6" s="246">
        <f t="shared" si="1"/>
        <v>3793.6195957999998</v>
      </c>
      <c r="L6" s="246">
        <f t="shared" si="1"/>
        <v>107</v>
      </c>
      <c r="M6" s="246">
        <f t="shared" si="1"/>
        <v>35410.626260439996</v>
      </c>
      <c r="N6" s="246">
        <f t="shared" si="1"/>
        <v>22</v>
      </c>
      <c r="O6" s="246">
        <f t="shared" si="1"/>
        <v>15521.931058499998</v>
      </c>
      <c r="P6" s="246">
        <f t="shared" si="1"/>
        <v>5</v>
      </c>
      <c r="Q6" s="246">
        <f t="shared" si="1"/>
        <v>327.14494830000001</v>
      </c>
      <c r="R6" s="60"/>
      <c r="S6" s="60"/>
    </row>
    <row r="7" spans="1:21">
      <c r="A7" s="174">
        <v>45412</v>
      </c>
      <c r="B7" s="171">
        <f t="shared" si="0"/>
        <v>35</v>
      </c>
      <c r="C7" s="171">
        <f t="shared" si="0"/>
        <v>25370.566831899996</v>
      </c>
      <c r="D7" s="171">
        <v>35</v>
      </c>
      <c r="E7" s="171">
        <v>25370.566831899996</v>
      </c>
      <c r="F7" s="171">
        <v>0</v>
      </c>
      <c r="G7" s="171">
        <v>0</v>
      </c>
      <c r="H7" s="171">
        <v>10</v>
      </c>
      <c r="I7" s="171">
        <v>4644.9488850000007</v>
      </c>
      <c r="J7" s="171"/>
      <c r="K7" s="171"/>
      <c r="L7" s="171">
        <v>22</v>
      </c>
      <c r="M7" s="171">
        <v>19527.236426899995</v>
      </c>
      <c r="N7" s="171">
        <v>3</v>
      </c>
      <c r="O7" s="171">
        <v>1198.3815200000001</v>
      </c>
      <c r="P7" s="171"/>
      <c r="Q7" s="171"/>
      <c r="R7" s="61"/>
      <c r="S7" s="61"/>
      <c r="T7" s="61"/>
      <c r="U7" s="61"/>
    </row>
    <row r="8" spans="1:21">
      <c r="A8" s="174">
        <v>45443</v>
      </c>
      <c r="B8" s="171">
        <f t="shared" si="0"/>
        <v>38</v>
      </c>
      <c r="C8" s="171">
        <f t="shared" si="0"/>
        <v>12288.583472800001</v>
      </c>
      <c r="D8" s="171">
        <v>38</v>
      </c>
      <c r="E8" s="171">
        <v>12288.583472800001</v>
      </c>
      <c r="F8" s="171">
        <v>0</v>
      </c>
      <c r="G8" s="171">
        <v>0</v>
      </c>
      <c r="H8" s="171">
        <v>6</v>
      </c>
      <c r="I8" s="171">
        <v>2234.4149838000003</v>
      </c>
      <c r="J8" s="171">
        <v>3</v>
      </c>
      <c r="K8" s="171">
        <v>426.58800000000002</v>
      </c>
      <c r="L8" s="171">
        <v>22</v>
      </c>
      <c r="M8" s="171">
        <v>4558.1943689999998</v>
      </c>
      <c r="N8" s="171">
        <v>6</v>
      </c>
      <c r="O8" s="171">
        <v>5026.2249999999995</v>
      </c>
      <c r="P8" s="171">
        <v>1</v>
      </c>
      <c r="Q8" s="171">
        <v>43.161119999999997</v>
      </c>
      <c r="R8" s="61"/>
      <c r="S8" s="61"/>
      <c r="T8" s="166"/>
      <c r="U8" s="166"/>
    </row>
    <row r="9" spans="1:21">
      <c r="A9" s="174">
        <v>45473</v>
      </c>
      <c r="B9" s="171">
        <f t="shared" si="0"/>
        <v>38</v>
      </c>
      <c r="C9" s="171">
        <f t="shared" si="0"/>
        <v>3571.1980000000003</v>
      </c>
      <c r="D9" s="171">
        <v>38</v>
      </c>
      <c r="E9" s="171">
        <v>3571.1980000000003</v>
      </c>
      <c r="F9" s="171">
        <v>0</v>
      </c>
      <c r="G9" s="171">
        <v>0</v>
      </c>
      <c r="H9" s="171">
        <v>7</v>
      </c>
      <c r="I9" s="171">
        <v>1299.5532000000001</v>
      </c>
      <c r="J9" s="171">
        <v>3</v>
      </c>
      <c r="K9" s="171">
        <v>87.91</v>
      </c>
      <c r="L9" s="171">
        <v>25</v>
      </c>
      <c r="M9" s="171">
        <v>1581.0903999999998</v>
      </c>
      <c r="N9" s="171">
        <v>2</v>
      </c>
      <c r="O9" s="171">
        <v>571.85</v>
      </c>
      <c r="P9" s="171">
        <v>1</v>
      </c>
      <c r="Q9" s="171">
        <v>30.7944</v>
      </c>
      <c r="R9" s="61"/>
      <c r="S9" s="61"/>
    </row>
    <row r="10" spans="1:21">
      <c r="A10" s="174">
        <v>45504</v>
      </c>
      <c r="B10" s="171">
        <f t="shared" si="0"/>
        <v>42</v>
      </c>
      <c r="C10" s="171">
        <f t="shared" si="0"/>
        <v>9001.1008530999989</v>
      </c>
      <c r="D10" s="171">
        <v>42</v>
      </c>
      <c r="E10" s="171">
        <v>9001.1008530999989</v>
      </c>
      <c r="F10" s="171">
        <v>0</v>
      </c>
      <c r="G10" s="171">
        <v>0</v>
      </c>
      <c r="H10" s="171">
        <v>12</v>
      </c>
      <c r="I10" s="171">
        <v>1603.3992968</v>
      </c>
      <c r="J10" s="171">
        <v>4</v>
      </c>
      <c r="K10" s="171">
        <v>199.82195999999999</v>
      </c>
      <c r="L10" s="171">
        <v>19</v>
      </c>
      <c r="M10" s="171">
        <v>4648.3601679999992</v>
      </c>
      <c r="N10" s="171">
        <v>4</v>
      </c>
      <c r="O10" s="171">
        <v>2296.33</v>
      </c>
      <c r="P10" s="171">
        <v>3</v>
      </c>
      <c r="Q10" s="171">
        <v>253.1894283</v>
      </c>
      <c r="R10" s="61"/>
      <c r="S10" s="61"/>
    </row>
    <row r="11" spans="1:21">
      <c r="A11" s="174">
        <v>45535</v>
      </c>
      <c r="B11" s="171">
        <v>42</v>
      </c>
      <c r="C11" s="171">
        <v>18809.662833906004</v>
      </c>
      <c r="D11" s="171">
        <v>42</v>
      </c>
      <c r="E11" s="171">
        <v>18809.662833906004</v>
      </c>
      <c r="F11" s="171">
        <v>0</v>
      </c>
      <c r="G11" s="171">
        <v>0</v>
      </c>
      <c r="H11" s="171">
        <v>12</v>
      </c>
      <c r="I11" s="171">
        <v>4205.4737630660029</v>
      </c>
      <c r="J11" s="171">
        <v>4</v>
      </c>
      <c r="K11" s="171">
        <v>3079.2996358</v>
      </c>
      <c r="L11" s="171">
        <v>19</v>
      </c>
      <c r="M11" s="171">
        <v>5095.7448965400008</v>
      </c>
      <c r="N11" s="171">
        <v>7</v>
      </c>
      <c r="O11" s="171">
        <v>6429.1445384999997</v>
      </c>
      <c r="P11" s="171">
        <v>0</v>
      </c>
      <c r="Q11" s="171">
        <v>0</v>
      </c>
      <c r="R11" s="61"/>
      <c r="S11" s="61"/>
    </row>
    <row r="12" spans="1:21">
      <c r="A12" s="174">
        <v>45565</v>
      </c>
      <c r="B12" s="171"/>
      <c r="C12" s="171"/>
      <c r="D12" s="171"/>
      <c r="E12" s="171"/>
      <c r="F12" s="171"/>
      <c r="G12" s="171"/>
      <c r="H12" s="171"/>
      <c r="I12" s="171"/>
      <c r="J12" s="171"/>
      <c r="K12" s="171"/>
      <c r="L12" s="171"/>
      <c r="M12" s="171"/>
      <c r="N12" s="171"/>
      <c r="O12" s="171"/>
      <c r="P12" s="171"/>
      <c r="Q12" s="171"/>
      <c r="R12" s="61"/>
      <c r="S12" s="61"/>
    </row>
    <row r="13" spans="1:21">
      <c r="A13" s="174">
        <v>45596</v>
      </c>
      <c r="B13" s="171"/>
      <c r="C13" s="171"/>
      <c r="D13" s="171"/>
      <c r="E13" s="171"/>
      <c r="F13" s="171"/>
      <c r="G13" s="171"/>
      <c r="H13" s="171"/>
      <c r="I13" s="171"/>
      <c r="J13" s="171"/>
      <c r="K13" s="171"/>
      <c r="L13" s="171"/>
      <c r="M13" s="171"/>
      <c r="N13" s="171"/>
      <c r="O13" s="171"/>
      <c r="P13" s="171"/>
      <c r="Q13" s="171"/>
      <c r="R13" s="61"/>
      <c r="S13" s="61"/>
    </row>
    <row r="14" spans="1:21">
      <c r="A14" s="174">
        <v>45626</v>
      </c>
      <c r="B14" s="171"/>
      <c r="C14" s="171"/>
      <c r="D14" s="171"/>
      <c r="E14" s="171"/>
      <c r="F14" s="171"/>
      <c r="G14" s="171"/>
      <c r="H14" s="171"/>
      <c r="I14" s="171"/>
      <c r="J14" s="171"/>
      <c r="K14" s="171"/>
      <c r="L14" s="171"/>
      <c r="M14" s="171"/>
      <c r="N14" s="171"/>
      <c r="O14" s="171"/>
      <c r="P14" s="171"/>
      <c r="Q14" s="171"/>
      <c r="R14" s="61"/>
      <c r="S14" s="61"/>
    </row>
    <row r="15" spans="1:21">
      <c r="A15" s="174">
        <v>45657</v>
      </c>
      <c r="B15" s="171"/>
      <c r="C15" s="171"/>
      <c r="D15" s="171"/>
      <c r="E15" s="171"/>
      <c r="F15" s="171"/>
      <c r="G15" s="171"/>
      <c r="H15" s="171"/>
      <c r="I15" s="171"/>
      <c r="J15" s="171"/>
      <c r="K15" s="171"/>
      <c r="L15" s="171"/>
      <c r="M15" s="171"/>
      <c r="N15" s="171"/>
      <c r="O15" s="171"/>
      <c r="P15" s="171"/>
      <c r="Q15" s="171"/>
      <c r="R15" s="61"/>
      <c r="S15" s="61"/>
    </row>
    <row r="16" spans="1:21">
      <c r="A16" s="174">
        <v>45688</v>
      </c>
      <c r="B16" s="171"/>
      <c r="C16" s="171"/>
      <c r="D16" s="241"/>
      <c r="E16" s="171"/>
      <c r="F16" s="171"/>
      <c r="G16" s="171"/>
      <c r="H16" s="171"/>
      <c r="I16" s="171"/>
      <c r="J16" s="171"/>
      <c r="K16" s="171"/>
      <c r="L16" s="171"/>
      <c r="M16" s="171"/>
      <c r="N16" s="171"/>
      <c r="O16" s="171"/>
      <c r="P16" s="171"/>
      <c r="Q16" s="171"/>
      <c r="R16" s="61"/>
      <c r="S16" s="61"/>
    </row>
    <row r="17" spans="1:19">
      <c r="A17" s="174">
        <v>45716</v>
      </c>
      <c r="B17" s="171"/>
      <c r="C17" s="171"/>
      <c r="D17" s="171"/>
      <c r="E17" s="171"/>
      <c r="F17" s="171"/>
      <c r="G17" s="171"/>
      <c r="H17" s="171"/>
      <c r="I17" s="171"/>
      <c r="J17" s="171"/>
      <c r="K17" s="171"/>
      <c r="L17" s="171"/>
      <c r="M17" s="171"/>
      <c r="N17" s="171"/>
      <c r="O17" s="171"/>
      <c r="P17" s="171"/>
      <c r="Q17" s="171"/>
      <c r="R17" s="280"/>
      <c r="S17" s="280"/>
    </row>
    <row r="18" spans="1:19">
      <c r="A18" s="174">
        <v>45747</v>
      </c>
      <c r="B18" s="171"/>
      <c r="C18" s="171"/>
      <c r="D18" s="171"/>
      <c r="E18" s="171"/>
      <c r="F18" s="171"/>
      <c r="G18" s="171"/>
      <c r="H18" s="171"/>
      <c r="I18" s="171"/>
      <c r="J18" s="171"/>
      <c r="K18" s="171"/>
      <c r="L18" s="171"/>
      <c r="M18" s="171"/>
      <c r="N18" s="171"/>
      <c r="O18" s="171"/>
      <c r="P18" s="171"/>
      <c r="Q18" s="171"/>
      <c r="R18" s="61"/>
      <c r="S18" s="61"/>
    </row>
    <row r="19" spans="1:19" s="331" customFormat="1">
      <c r="A19" s="743" t="str">
        <f>"$ indicates as on "&amp;TEXT(IF(COUNT(B7:B18)=1,A7,IF(COUNT(B7:B18)=2,A8,IF(COUNT(B7:B18)=3,A9,IF(COUNT(B7:B18)=4,A10,IF(COUNT(B7:B18)=5,A11,IF(COUNT(B7:B18)=6,A12,IF(COUNT(B7:B18)=7,A13,IF(COUNT(B7:B18)=8,A14,IF(COUNT(B7:B18)=9,A15,IF(COUNT(B7:B18)=10,A16,IF(COUNT(B7:B18)=11,A17,A18))))))))))),"mmmm dd, yyyy")</f>
        <v>$ indicates as on August 31, 2024</v>
      </c>
      <c r="B19" s="744"/>
      <c r="C19" s="744"/>
      <c r="D19" s="744"/>
      <c r="E19" s="744"/>
      <c r="F19" s="744"/>
      <c r="G19" s="744"/>
      <c r="H19" s="744"/>
      <c r="I19" s="744"/>
      <c r="J19" s="744"/>
      <c r="K19" s="744"/>
      <c r="L19" s="744"/>
      <c r="M19" s="744"/>
      <c r="N19" s="744"/>
      <c r="O19" s="744"/>
      <c r="P19" s="744"/>
      <c r="Q19" s="744"/>
      <c r="R19" s="61"/>
      <c r="S19" s="61"/>
    </row>
    <row r="20" spans="1:19">
      <c r="A20" s="1274" t="s">
        <v>149</v>
      </c>
      <c r="B20" s="1274"/>
      <c r="C20" s="1274"/>
      <c r="D20" s="1274"/>
      <c r="E20" s="1274"/>
      <c r="F20" s="1274"/>
      <c r="G20" s="1274"/>
      <c r="H20" s="1274"/>
      <c r="I20" s="1274"/>
      <c r="J20" s="62"/>
      <c r="K20" s="63"/>
      <c r="L20" s="62"/>
      <c r="M20" s="63"/>
      <c r="N20" s="62"/>
      <c r="O20" s="63"/>
      <c r="P20" s="62"/>
      <c r="Q20" s="63"/>
      <c r="R20" s="22"/>
      <c r="S20" s="22"/>
    </row>
    <row r="21" spans="1:19">
      <c r="A21" s="1273" t="s">
        <v>130</v>
      </c>
      <c r="B21" s="1273"/>
      <c r="C21" s="26"/>
      <c r="D21" s="64"/>
      <c r="E21" s="64"/>
      <c r="F21" s="64"/>
      <c r="G21" s="64"/>
      <c r="H21" s="64"/>
      <c r="I21" s="64"/>
      <c r="J21" s="62"/>
      <c r="N21" s="62"/>
      <c r="O21" s="63"/>
      <c r="P21" s="62"/>
      <c r="Q21" s="62"/>
      <c r="R21" s="62"/>
      <c r="S21" s="62"/>
    </row>
    <row r="22" spans="1:19">
      <c r="A22" s="548"/>
      <c r="B22" s="62"/>
      <c r="C22" s="63"/>
      <c r="D22" s="62"/>
      <c r="E22" s="63"/>
      <c r="F22" s="62"/>
      <c r="G22" s="62"/>
      <c r="H22" s="62"/>
      <c r="I22" s="62"/>
      <c r="J22" s="62"/>
      <c r="N22" s="62"/>
      <c r="O22" s="63"/>
      <c r="P22" s="62"/>
      <c r="Q22" s="62"/>
      <c r="R22" s="62"/>
      <c r="S22" s="62"/>
    </row>
    <row r="23" spans="1:19">
      <c r="A23" s="1273"/>
      <c r="B23" s="1273"/>
      <c r="C23" s="1273"/>
      <c r="D23" s="1273"/>
      <c r="E23" s="66"/>
      <c r="F23" s="62"/>
      <c r="G23" s="62"/>
      <c r="H23" s="62"/>
      <c r="I23" s="62"/>
      <c r="J23" s="62"/>
      <c r="N23" s="67"/>
      <c r="O23" s="67"/>
      <c r="P23" s="67"/>
      <c r="Q23" s="67"/>
      <c r="R23" s="68"/>
      <c r="S23" s="68"/>
    </row>
    <row r="24" spans="1:19">
      <c r="A24" s="65"/>
      <c r="B24" s="66"/>
      <c r="C24" s="66"/>
      <c r="D24" s="66"/>
      <c r="E24" s="66"/>
      <c r="F24" s="13"/>
      <c r="G24" s="13"/>
      <c r="H24" s="69"/>
      <c r="I24" s="66"/>
      <c r="J24" s="66"/>
      <c r="N24" s="66"/>
      <c r="O24" s="66"/>
      <c r="P24" s="13"/>
      <c r="Q24" s="13"/>
      <c r="R24" s="13"/>
      <c r="S24" s="13"/>
    </row>
    <row r="25" spans="1:19">
      <c r="A25" s="65"/>
      <c r="B25" s="66"/>
      <c r="C25" s="70"/>
      <c r="D25" s="66"/>
      <c r="E25" s="70"/>
      <c r="F25" s="70"/>
      <c r="G25" s="70"/>
      <c r="H25" s="66"/>
      <c r="I25" s="70"/>
      <c r="J25" s="66"/>
      <c r="N25" s="66"/>
      <c r="O25" s="70"/>
      <c r="P25" s="66"/>
      <c r="Q25" s="70"/>
      <c r="R25" s="70"/>
      <c r="S25" s="70"/>
    </row>
    <row r="26" spans="1:19">
      <c r="A26" s="65"/>
      <c r="B26" s="66"/>
      <c r="C26" s="70"/>
      <c r="D26" s="66"/>
      <c r="E26" s="70"/>
      <c r="F26" s="70"/>
      <c r="G26" s="70"/>
      <c r="H26" s="66"/>
      <c r="I26" s="70"/>
      <c r="J26" s="66"/>
      <c r="K26" s="70"/>
      <c r="L26" s="66"/>
      <c r="M26" s="70"/>
      <c r="N26" s="66"/>
      <c r="O26" s="70"/>
      <c r="P26" s="66"/>
      <c r="Q26" s="70"/>
      <c r="R26" s="70"/>
      <c r="S26" s="70"/>
    </row>
    <row r="27" spans="1:19">
      <c r="A27" s="54"/>
      <c r="B27" s="71"/>
      <c r="C27" s="61"/>
      <c r="D27" s="71"/>
      <c r="E27" s="61"/>
      <c r="F27" s="61"/>
      <c r="G27" s="61"/>
      <c r="H27" s="71"/>
      <c r="I27" s="61"/>
      <c r="J27" s="71"/>
      <c r="K27" s="61"/>
      <c r="L27" s="71"/>
      <c r="M27" s="61"/>
      <c r="N27" s="71"/>
      <c r="O27" s="61"/>
      <c r="P27" s="71"/>
      <c r="Q27" s="61"/>
      <c r="R27" s="61"/>
      <c r="S27" s="61"/>
    </row>
    <row r="28" spans="1:19">
      <c r="A28" s="54"/>
      <c r="B28" s="71"/>
      <c r="C28" s="61"/>
      <c r="D28" s="71"/>
      <c r="E28" s="61"/>
      <c r="F28" s="61"/>
      <c r="G28" s="61"/>
      <c r="H28" s="71"/>
      <c r="I28" s="61"/>
      <c r="J28" s="71"/>
      <c r="K28" s="61"/>
      <c r="L28" s="71"/>
      <c r="M28" s="61"/>
      <c r="N28" s="71"/>
      <c r="O28" s="61"/>
      <c r="P28" s="71"/>
      <c r="Q28" s="61"/>
      <c r="R28" s="61"/>
      <c r="S28" s="61"/>
    </row>
    <row r="29" spans="1:19">
      <c r="A29" s="54"/>
      <c r="B29" s="71"/>
      <c r="C29" s="61"/>
      <c r="D29" s="71"/>
      <c r="E29" s="61"/>
      <c r="F29" s="61"/>
      <c r="G29" s="61"/>
      <c r="H29" s="71"/>
      <c r="I29" s="61"/>
      <c r="J29" s="71"/>
      <c r="K29" s="61"/>
      <c r="L29" s="71"/>
      <c r="M29" s="61"/>
      <c r="N29" s="71"/>
      <c r="O29" s="61"/>
      <c r="P29" s="71"/>
      <c r="Q29" s="61"/>
      <c r="R29" s="61"/>
      <c r="S29" s="61"/>
    </row>
    <row r="31" spans="1:19">
      <c r="J31" s="72"/>
      <c r="K31" s="72"/>
      <c r="L31" s="72"/>
      <c r="M31" s="72"/>
      <c r="N31" s="72"/>
      <c r="O31" s="72"/>
      <c r="P31" s="72"/>
      <c r="Q31" s="72"/>
      <c r="R31" s="56"/>
      <c r="S31" s="56"/>
    </row>
    <row r="32" spans="1:19">
      <c r="J32" s="26"/>
      <c r="K32" s="26"/>
      <c r="L32" s="26"/>
      <c r="M32" s="72"/>
      <c r="N32" s="72"/>
      <c r="O32" s="72"/>
      <c r="P32" s="72"/>
      <c r="Q32" s="72"/>
      <c r="R32" s="56"/>
      <c r="S32" s="56"/>
    </row>
    <row r="33" spans="10:18">
      <c r="J33" s="72"/>
      <c r="K33" s="72"/>
      <c r="L33" s="72"/>
      <c r="M33" s="72"/>
      <c r="N33" s="72"/>
      <c r="O33" s="72"/>
      <c r="P33" s="72"/>
      <c r="Q33" s="72"/>
      <c r="R33" s="18"/>
    </row>
  </sheetData>
  <mergeCells count="15">
    <mergeCell ref="A23:D23"/>
    <mergeCell ref="A20:I20"/>
    <mergeCell ref="A21:B21"/>
    <mergeCell ref="A1:Q1"/>
    <mergeCell ref="A2:A4"/>
    <mergeCell ref="B2:C3"/>
    <mergeCell ref="D2:G2"/>
    <mergeCell ref="H2:Q2"/>
    <mergeCell ref="D3:E3"/>
    <mergeCell ref="F3:G3"/>
    <mergeCell ref="H3:I3"/>
    <mergeCell ref="J3:K3"/>
    <mergeCell ref="L3:M3"/>
    <mergeCell ref="N3:O3"/>
    <mergeCell ref="P3:Q3"/>
  </mergeCells>
  <printOptions horizontalCentered="1"/>
  <pageMargins left="0.7" right="0.7" top="0.75" bottom="0.75" header="0.3" footer="0.3"/>
  <pageSetup paperSize="9" scale="84" fitToHeight="0" orientation="landscape"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pageSetUpPr fitToPage="1"/>
  </sheetPr>
  <dimension ref="A1:R32"/>
  <sheetViews>
    <sheetView workbookViewId="0">
      <selection sqref="A1:N1"/>
    </sheetView>
  </sheetViews>
  <sheetFormatPr defaultRowHeight="15"/>
  <sheetData>
    <row r="1" spans="1:18">
      <c r="A1" s="1283" t="s">
        <v>6</v>
      </c>
      <c r="B1" s="1283"/>
      <c r="C1" s="1283"/>
      <c r="D1" s="1283"/>
      <c r="E1" s="1283"/>
      <c r="F1" s="1283"/>
      <c r="G1" s="1283"/>
      <c r="H1" s="1283"/>
      <c r="I1" s="1283"/>
      <c r="J1" s="1283"/>
      <c r="K1" s="1283"/>
      <c r="L1" s="1283"/>
      <c r="M1" s="1283"/>
      <c r="N1" s="1283"/>
      <c r="O1" s="56"/>
    </row>
    <row r="2" spans="1:18">
      <c r="A2" s="1284" t="s">
        <v>116</v>
      </c>
      <c r="B2" s="1286" t="s">
        <v>96</v>
      </c>
      <c r="C2" s="1287"/>
      <c r="D2" s="1286" t="s">
        <v>158</v>
      </c>
      <c r="E2" s="1287"/>
      <c r="F2" s="1288" t="s">
        <v>159</v>
      </c>
      <c r="G2" s="1289"/>
      <c r="H2" s="1286" t="s">
        <v>160</v>
      </c>
      <c r="I2" s="1287"/>
      <c r="J2" s="1286" t="s">
        <v>161</v>
      </c>
      <c r="K2" s="1287"/>
      <c r="L2" s="1286" t="s">
        <v>162</v>
      </c>
      <c r="M2" s="1287"/>
      <c r="N2" s="1286" t="s">
        <v>163</v>
      </c>
      <c r="O2" s="1287"/>
    </row>
    <row r="3" spans="1:18" ht="30">
      <c r="A3" s="1285"/>
      <c r="B3" s="73" t="s">
        <v>141</v>
      </c>
      <c r="C3" s="73" t="s">
        <v>1411</v>
      </c>
      <c r="D3" s="73" t="s">
        <v>141</v>
      </c>
      <c r="E3" s="73" t="s">
        <v>1411</v>
      </c>
      <c r="F3" s="73" t="s">
        <v>141</v>
      </c>
      <c r="G3" s="73" t="s">
        <v>1411</v>
      </c>
      <c r="H3" s="73" t="s">
        <v>141</v>
      </c>
      <c r="I3" s="73" t="s">
        <v>1411</v>
      </c>
      <c r="J3" s="73" t="s">
        <v>141</v>
      </c>
      <c r="K3" s="73" t="s">
        <v>1411</v>
      </c>
      <c r="L3" s="73" t="s">
        <v>141</v>
      </c>
      <c r="M3" s="73" t="s">
        <v>1411</v>
      </c>
      <c r="N3" s="73" t="s">
        <v>141</v>
      </c>
      <c r="O3" s="73" t="s">
        <v>1411</v>
      </c>
    </row>
    <row r="4" spans="1:18">
      <c r="A4" s="422" t="s">
        <v>518</v>
      </c>
      <c r="B4" s="74">
        <v>340</v>
      </c>
      <c r="C4" s="74">
        <v>83091.976240000004</v>
      </c>
      <c r="D4" s="74">
        <v>3</v>
      </c>
      <c r="E4" s="74">
        <v>9.4619999999999997</v>
      </c>
      <c r="F4" s="74">
        <v>28</v>
      </c>
      <c r="G4" s="74">
        <v>218.70821859999998</v>
      </c>
      <c r="H4" s="74">
        <v>187</v>
      </c>
      <c r="I4" s="74">
        <v>5420.5137005000006</v>
      </c>
      <c r="J4" s="74">
        <v>38</v>
      </c>
      <c r="K4" s="74">
        <v>2473.5783006000001</v>
      </c>
      <c r="L4" s="74">
        <v>29</v>
      </c>
      <c r="M4" s="74">
        <v>8297.8353831000004</v>
      </c>
      <c r="N4" s="74">
        <v>55</v>
      </c>
      <c r="O4" s="74">
        <v>66671.878637200003</v>
      </c>
    </row>
    <row r="5" spans="1:18">
      <c r="A5" s="423" t="s">
        <v>743</v>
      </c>
      <c r="B5" s="74">
        <f>SUM(B6:B17)</f>
        <v>195</v>
      </c>
      <c r="C5" s="74">
        <f t="shared" ref="C5:O5" si="0">SUM(C6:C17)</f>
        <v>69041.111991705999</v>
      </c>
      <c r="D5" s="247">
        <f t="shared" si="0"/>
        <v>3</v>
      </c>
      <c r="E5" s="247">
        <f t="shared" si="0"/>
        <v>12.37</v>
      </c>
      <c r="F5" s="247">
        <f t="shared" si="0"/>
        <v>16</v>
      </c>
      <c r="G5" s="247">
        <f t="shared" si="0"/>
        <v>116.6036</v>
      </c>
      <c r="H5" s="247">
        <f t="shared" si="0"/>
        <v>113</v>
      </c>
      <c r="I5" s="247">
        <f t="shared" si="0"/>
        <v>3374.064898306</v>
      </c>
      <c r="J5" s="247">
        <f t="shared" si="0"/>
        <v>21</v>
      </c>
      <c r="K5" s="247">
        <f t="shared" si="0"/>
        <v>1349.8970400000001</v>
      </c>
      <c r="L5" s="247">
        <f t="shared" si="0"/>
        <v>19</v>
      </c>
      <c r="M5" s="247">
        <f t="shared" si="0"/>
        <v>4211.1257280999998</v>
      </c>
      <c r="N5" s="247">
        <f t="shared" si="0"/>
        <v>23</v>
      </c>
      <c r="O5" s="247">
        <f t="shared" si="0"/>
        <v>59977.050725299996</v>
      </c>
      <c r="Q5" s="21"/>
      <c r="R5" s="21"/>
    </row>
    <row r="6" spans="1:18">
      <c r="A6" s="174">
        <v>45412</v>
      </c>
      <c r="B6" s="75">
        <f t="shared" ref="B6:C10" si="1">D6+F6+H6+J6+L6+N6</f>
        <v>35</v>
      </c>
      <c r="C6" s="75">
        <f t="shared" si="1"/>
        <v>25370.5668319</v>
      </c>
      <c r="D6" s="75">
        <v>1</v>
      </c>
      <c r="E6" s="75">
        <v>4.76</v>
      </c>
      <c r="F6" s="75">
        <v>3</v>
      </c>
      <c r="G6" s="75">
        <v>21.8</v>
      </c>
      <c r="H6" s="75">
        <v>20</v>
      </c>
      <c r="I6" s="75">
        <v>513.18407259999992</v>
      </c>
      <c r="J6" s="75">
        <v>5</v>
      </c>
      <c r="K6" s="75">
        <v>275.15276</v>
      </c>
      <c r="L6" s="75">
        <v>2</v>
      </c>
      <c r="M6" s="75">
        <v>480.2</v>
      </c>
      <c r="N6" s="75">
        <v>4</v>
      </c>
      <c r="O6" s="75">
        <v>24075.469999299999</v>
      </c>
    </row>
    <row r="7" spans="1:18">
      <c r="A7" s="174">
        <v>45443</v>
      </c>
      <c r="B7" s="75">
        <f t="shared" si="1"/>
        <v>38</v>
      </c>
      <c r="C7" s="75">
        <f t="shared" si="1"/>
        <v>12288.583472800001</v>
      </c>
      <c r="D7" s="75">
        <v>0</v>
      </c>
      <c r="E7" s="75">
        <v>0</v>
      </c>
      <c r="F7" s="75">
        <v>4</v>
      </c>
      <c r="G7" s="75">
        <v>30.365600000000001</v>
      </c>
      <c r="H7" s="75">
        <v>25</v>
      </c>
      <c r="I7" s="75">
        <v>709.34326479999993</v>
      </c>
      <c r="J7" s="75">
        <v>1</v>
      </c>
      <c r="K7" s="75">
        <v>96.284999999999997</v>
      </c>
      <c r="L7" s="75">
        <v>2</v>
      </c>
      <c r="M7" s="75">
        <v>574.63106500000004</v>
      </c>
      <c r="N7" s="75">
        <v>6</v>
      </c>
      <c r="O7" s="75">
        <v>10877.958543000001</v>
      </c>
    </row>
    <row r="8" spans="1:18">
      <c r="A8" s="174">
        <v>45473</v>
      </c>
      <c r="B8" s="75">
        <f t="shared" si="1"/>
        <v>38</v>
      </c>
      <c r="C8" s="75">
        <f t="shared" si="1"/>
        <v>3571.1979999999999</v>
      </c>
      <c r="D8" s="75">
        <v>1</v>
      </c>
      <c r="E8" s="75">
        <v>3.59</v>
      </c>
      <c r="F8" s="75">
        <v>6</v>
      </c>
      <c r="G8" s="75">
        <v>41.367999999999995</v>
      </c>
      <c r="H8" s="75">
        <v>22</v>
      </c>
      <c r="I8" s="75">
        <v>736.90671999999995</v>
      </c>
      <c r="J8" s="75">
        <v>2</v>
      </c>
      <c r="K8" s="75">
        <v>182.27328</v>
      </c>
      <c r="L8" s="75">
        <v>5</v>
      </c>
      <c r="M8" s="75">
        <v>1329.94</v>
      </c>
      <c r="N8" s="75">
        <v>2</v>
      </c>
      <c r="O8" s="75">
        <v>1277.1199999999999</v>
      </c>
    </row>
    <row r="9" spans="1:18">
      <c r="A9" s="174">
        <v>45504</v>
      </c>
      <c r="B9" s="75">
        <f t="shared" si="1"/>
        <v>42</v>
      </c>
      <c r="C9" s="75">
        <f t="shared" si="1"/>
        <v>9001.1008531000007</v>
      </c>
      <c r="D9" s="75">
        <v>0</v>
      </c>
      <c r="E9" s="75">
        <v>0</v>
      </c>
      <c r="F9" s="75">
        <v>1</v>
      </c>
      <c r="G9" s="75">
        <v>9</v>
      </c>
      <c r="H9" s="75">
        <v>22</v>
      </c>
      <c r="I9" s="75">
        <v>705.18571759999998</v>
      </c>
      <c r="J9" s="75">
        <v>7</v>
      </c>
      <c r="K9" s="75">
        <v>405.70519999999999</v>
      </c>
      <c r="L9" s="75">
        <v>7</v>
      </c>
      <c r="M9" s="75">
        <v>1175.0099482999999</v>
      </c>
      <c r="N9" s="75">
        <v>5</v>
      </c>
      <c r="O9" s="75">
        <v>6706.1999871999997</v>
      </c>
    </row>
    <row r="10" spans="1:18">
      <c r="A10" s="174">
        <v>45535</v>
      </c>
      <c r="B10" s="75">
        <f t="shared" si="1"/>
        <v>42</v>
      </c>
      <c r="C10" s="75">
        <f t="shared" si="1"/>
        <v>18809.662833905997</v>
      </c>
      <c r="D10" s="75">
        <v>1</v>
      </c>
      <c r="E10" s="75">
        <v>4.0199999999999996</v>
      </c>
      <c r="F10" s="75">
        <v>2</v>
      </c>
      <c r="G10" s="75">
        <v>14.07</v>
      </c>
      <c r="H10" s="75">
        <v>24</v>
      </c>
      <c r="I10" s="75">
        <v>709.44512330600014</v>
      </c>
      <c r="J10" s="75">
        <v>6</v>
      </c>
      <c r="K10" s="75">
        <v>390.48079999999999</v>
      </c>
      <c r="L10" s="75">
        <v>3</v>
      </c>
      <c r="M10" s="75">
        <v>651.34471479999991</v>
      </c>
      <c r="N10" s="75">
        <v>6</v>
      </c>
      <c r="O10" s="75">
        <v>17040.302195799999</v>
      </c>
    </row>
    <row r="11" spans="1:18">
      <c r="A11" s="174">
        <v>45565</v>
      </c>
      <c r="B11" s="75"/>
      <c r="C11" s="75"/>
      <c r="D11" s="75"/>
      <c r="E11" s="75"/>
      <c r="F11" s="75"/>
      <c r="G11" s="75"/>
      <c r="H11" s="75"/>
      <c r="I11" s="75"/>
      <c r="J11" s="75"/>
      <c r="K11" s="75"/>
      <c r="L11" s="75"/>
      <c r="M11" s="75"/>
      <c r="N11" s="75"/>
      <c r="O11" s="75"/>
    </row>
    <row r="12" spans="1:18">
      <c r="A12" s="174">
        <v>45596</v>
      </c>
      <c r="B12" s="75"/>
      <c r="C12" s="75"/>
      <c r="D12" s="75"/>
      <c r="E12" s="75"/>
      <c r="F12" s="75"/>
      <c r="G12" s="75"/>
      <c r="H12" s="75"/>
      <c r="I12" s="75"/>
      <c r="J12" s="75"/>
      <c r="K12" s="75"/>
      <c r="L12" s="75"/>
      <c r="M12" s="75"/>
      <c r="N12" s="75"/>
      <c r="O12" s="75"/>
    </row>
    <row r="13" spans="1:18">
      <c r="A13" s="174">
        <v>45626</v>
      </c>
      <c r="B13" s="75"/>
      <c r="C13" s="75"/>
      <c r="D13" s="75"/>
      <c r="E13" s="75"/>
      <c r="F13" s="75"/>
      <c r="G13" s="75"/>
      <c r="H13" s="75"/>
      <c r="I13" s="75"/>
      <c r="J13" s="75"/>
      <c r="K13" s="75"/>
      <c r="L13" s="75"/>
      <c r="M13" s="75"/>
      <c r="N13" s="75"/>
      <c r="O13" s="75"/>
    </row>
    <row r="14" spans="1:18">
      <c r="A14" s="174">
        <v>45657</v>
      </c>
      <c r="B14" s="75"/>
      <c r="C14" s="75"/>
      <c r="D14" s="75"/>
      <c r="E14" s="75"/>
      <c r="F14" s="75"/>
      <c r="G14" s="75"/>
      <c r="H14" s="75"/>
      <c r="I14" s="75"/>
      <c r="J14" s="75"/>
      <c r="K14" s="75"/>
      <c r="L14" s="75"/>
      <c r="M14" s="75"/>
      <c r="N14" s="75"/>
      <c r="O14" s="75"/>
    </row>
    <row r="15" spans="1:18">
      <c r="A15" s="174">
        <v>45688</v>
      </c>
      <c r="B15" s="75"/>
      <c r="C15" s="75"/>
      <c r="D15" s="75"/>
      <c r="E15" s="75"/>
      <c r="F15" s="75"/>
      <c r="G15" s="75"/>
      <c r="H15" s="75"/>
      <c r="I15" s="75"/>
      <c r="J15" s="75"/>
      <c r="K15" s="75"/>
      <c r="L15" s="75"/>
      <c r="M15" s="75"/>
      <c r="N15" s="75"/>
      <c r="O15" s="75"/>
    </row>
    <row r="16" spans="1:18">
      <c r="A16" s="174">
        <v>45716</v>
      </c>
      <c r="B16" s="75"/>
      <c r="C16" s="75"/>
      <c r="D16" s="75"/>
      <c r="E16" s="75"/>
      <c r="F16" s="237"/>
      <c r="G16" s="237"/>
      <c r="H16" s="237"/>
      <c r="I16" s="237"/>
      <c r="J16" s="237"/>
      <c r="K16" s="237"/>
      <c r="L16" s="237"/>
      <c r="M16" s="237"/>
      <c r="N16" s="237"/>
      <c r="O16" s="237"/>
      <c r="P16" s="21"/>
      <c r="Q16" s="21"/>
    </row>
    <row r="17" spans="1:15">
      <c r="A17" s="174">
        <v>45747</v>
      </c>
      <c r="B17" s="75"/>
      <c r="C17" s="75"/>
      <c r="D17" s="75"/>
      <c r="E17" s="75"/>
      <c r="F17" s="75"/>
      <c r="G17" s="75"/>
      <c r="H17" s="75"/>
      <c r="I17" s="75"/>
      <c r="J17" s="75"/>
      <c r="K17" s="75"/>
      <c r="L17" s="75"/>
      <c r="M17" s="75"/>
      <c r="N17" s="75"/>
      <c r="O17" s="75"/>
    </row>
    <row r="18" spans="1:15" s="331" customFormat="1">
      <c r="A18" s="743" t="str">
        <f>"$ indicates as on "&amp;TEXT(IF(COUNT(B6:B17)=1,A6,IF(COUNT(B6:B17)=2,A7,IF(COUNT(B6:B17)=3,A8,IF(COUNT(B6:B17)=4,A9,IF(COUNT(B6:B17)=5,A10,IF(COUNT(B6:B17)=6,A11,IF(COUNT(B6:B17)=7,A12,IF(COUNT(B6:B17)=8,A13,IF(COUNT(B6:B17)=9,A14,IF(COUNT(B6:B17)=10,A15,IF(COUNT(B6:B17)=11,A16,A17))))))))))),"mmmm dd, yyyy")</f>
        <v>$ indicates as on August 31, 2024</v>
      </c>
      <c r="B18" s="77"/>
      <c r="C18" s="77"/>
      <c r="D18" s="77"/>
      <c r="E18" s="77"/>
      <c r="F18" s="77"/>
      <c r="G18" s="77"/>
      <c r="H18" s="77"/>
      <c r="I18" s="77"/>
      <c r="J18" s="77"/>
      <c r="K18" s="77"/>
      <c r="L18" s="77"/>
      <c r="M18" s="77"/>
      <c r="N18" s="77"/>
      <c r="O18" s="77"/>
    </row>
    <row r="19" spans="1:15" ht="15.75">
      <c r="A19" s="1282" t="s">
        <v>149</v>
      </c>
      <c r="B19" s="1282"/>
      <c r="C19" s="1282"/>
      <c r="D19" s="1282"/>
      <c r="E19" s="1282"/>
      <c r="F19" s="1282"/>
      <c r="G19" s="1282"/>
      <c r="H19" s="1282"/>
      <c r="I19" s="1282"/>
      <c r="J19" s="76"/>
      <c r="K19" s="76"/>
      <c r="L19" s="76"/>
      <c r="M19" s="76"/>
      <c r="N19" s="76"/>
      <c r="O19" s="76"/>
    </row>
    <row r="20" spans="1:15">
      <c r="A20" s="1273" t="s">
        <v>130</v>
      </c>
      <c r="B20" s="1273"/>
      <c r="C20" s="64"/>
      <c r="D20" s="72"/>
      <c r="E20" s="72"/>
      <c r="F20" s="72"/>
      <c r="G20" s="72"/>
      <c r="H20" s="72"/>
      <c r="I20" s="72"/>
      <c r="J20" s="77"/>
      <c r="K20" s="77"/>
      <c r="L20" s="77"/>
      <c r="M20" s="77"/>
      <c r="N20" s="77"/>
      <c r="O20" s="77"/>
    </row>
    <row r="21" spans="1:15">
      <c r="B21" s="77"/>
      <c r="C21" s="77"/>
      <c r="D21" s="77"/>
      <c r="E21" s="77"/>
      <c r="F21" s="77"/>
      <c r="J21" s="77"/>
      <c r="K21" s="77"/>
      <c r="L21" s="77"/>
      <c r="M21" s="77"/>
      <c r="N21" s="77"/>
      <c r="O21" s="77"/>
    </row>
    <row r="22" spans="1:15" ht="15" customHeight="1">
      <c r="A22" s="78"/>
      <c r="B22" s="66"/>
      <c r="C22" s="66"/>
    </row>
    <row r="23" spans="1:15">
      <c r="A23" s="78"/>
      <c r="B23" s="66"/>
      <c r="C23" s="66"/>
      <c r="D23" s="66"/>
      <c r="E23" s="66"/>
      <c r="F23" s="66"/>
      <c r="J23" s="66"/>
      <c r="K23" s="66"/>
      <c r="L23" s="66"/>
      <c r="M23" s="66"/>
      <c r="N23" s="66"/>
      <c r="O23" s="66"/>
    </row>
    <row r="24" spans="1:15">
      <c r="A24" s="78"/>
      <c r="B24" s="66"/>
      <c r="C24" s="66"/>
      <c r="D24" s="66"/>
      <c r="E24" s="66"/>
      <c r="F24" s="66"/>
      <c r="J24" s="66"/>
      <c r="K24" s="66"/>
      <c r="L24" s="66"/>
      <c r="M24" s="66"/>
      <c r="N24" s="66"/>
      <c r="O24" s="66"/>
    </row>
    <row r="25" spans="1:15">
      <c r="A25" s="78"/>
      <c r="B25" s="66"/>
      <c r="C25" s="66"/>
      <c r="D25" s="66"/>
      <c r="E25" s="66"/>
      <c r="F25" s="66"/>
      <c r="J25" s="66"/>
      <c r="K25" s="66"/>
      <c r="L25" s="66"/>
      <c r="M25" s="66"/>
      <c r="N25" s="66"/>
      <c r="O25" s="66"/>
    </row>
    <row r="26" spans="1:15">
      <c r="A26" s="79"/>
      <c r="B26" s="71"/>
      <c r="C26" s="71"/>
      <c r="D26" s="71"/>
      <c r="E26" s="71"/>
      <c r="F26" s="71"/>
      <c r="J26" s="71"/>
      <c r="K26" s="71"/>
      <c r="L26" s="71"/>
      <c r="M26" s="71"/>
      <c r="N26" s="71"/>
      <c r="O26" s="71"/>
    </row>
    <row r="27" spans="1:15">
      <c r="A27" s="79"/>
      <c r="B27" s="71"/>
      <c r="C27" s="71"/>
      <c r="D27" s="71"/>
      <c r="E27" s="71"/>
      <c r="F27" s="71"/>
      <c r="J27" s="71"/>
      <c r="K27" s="71"/>
      <c r="L27" s="71"/>
      <c r="M27" s="71"/>
      <c r="N27" s="71"/>
      <c r="O27" s="71"/>
    </row>
    <row r="28" spans="1:15" ht="15.75">
      <c r="A28" s="80"/>
      <c r="B28" s="76"/>
      <c r="C28" s="76"/>
      <c r="D28" s="76"/>
      <c r="E28" s="76"/>
      <c r="F28" s="76"/>
      <c r="G28" s="76"/>
      <c r="H28" s="76"/>
      <c r="I28" s="76"/>
      <c r="J28" s="76"/>
      <c r="K28" s="76"/>
      <c r="L28" s="76"/>
      <c r="M28" s="76"/>
      <c r="N28" s="76"/>
      <c r="O28" s="76"/>
    </row>
    <row r="30" spans="1:15">
      <c r="J30" s="72"/>
      <c r="K30" s="72"/>
      <c r="L30" s="72"/>
      <c r="M30" s="72"/>
      <c r="N30" s="72"/>
      <c r="O30" s="72"/>
    </row>
    <row r="31" spans="1:15">
      <c r="J31" s="72"/>
      <c r="K31" s="72"/>
      <c r="L31" s="72"/>
      <c r="M31" s="72"/>
      <c r="N31" s="72"/>
      <c r="O31" s="72"/>
    </row>
    <row r="32" spans="1:15">
      <c r="J32" s="18"/>
      <c r="K32" s="18"/>
      <c r="L32" s="18"/>
      <c r="M32" s="18"/>
      <c r="N32" s="18"/>
      <c r="O32" s="18"/>
    </row>
  </sheetData>
  <mergeCells count="11">
    <mergeCell ref="A19:I19"/>
    <mergeCell ref="A20:B20"/>
    <mergeCell ref="A1:N1"/>
    <mergeCell ref="A2:A3"/>
    <mergeCell ref="B2:C2"/>
    <mergeCell ref="D2:E2"/>
    <mergeCell ref="F2:G2"/>
    <mergeCell ref="H2:I2"/>
    <mergeCell ref="J2:K2"/>
    <mergeCell ref="L2:M2"/>
    <mergeCell ref="N2:O2"/>
  </mergeCells>
  <printOptions horizontalCentered="1"/>
  <pageMargins left="0.7" right="0.7" top="0.75" bottom="0.75" header="0.3" footer="0.3"/>
  <pageSetup paperSize="9" scale="95" fitToHeight="0" orientation="landscape"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dimension ref="A1:K28"/>
  <sheetViews>
    <sheetView workbookViewId="0">
      <selection sqref="A1:I1"/>
    </sheetView>
  </sheetViews>
  <sheetFormatPr defaultRowHeight="15"/>
  <sheetData>
    <row r="1" spans="1:11">
      <c r="A1" s="1283" t="s">
        <v>7</v>
      </c>
      <c r="B1" s="1283"/>
      <c r="C1" s="1283"/>
      <c r="D1" s="1283"/>
      <c r="E1" s="1283"/>
      <c r="F1" s="1283"/>
      <c r="G1" s="1283"/>
      <c r="H1" s="1283"/>
      <c r="I1" s="1283"/>
      <c r="J1" s="56"/>
      <c r="K1" s="56"/>
    </row>
    <row r="2" spans="1:11">
      <c r="A2" s="1284" t="s">
        <v>116</v>
      </c>
      <c r="B2" s="1288" t="s">
        <v>164</v>
      </c>
      <c r="C2" s="1289"/>
      <c r="D2" s="1288" t="s">
        <v>165</v>
      </c>
      <c r="E2" s="1289"/>
      <c r="F2" s="1288" t="s">
        <v>166</v>
      </c>
      <c r="G2" s="1289"/>
      <c r="H2" s="1288" t="s">
        <v>167</v>
      </c>
      <c r="I2" s="1289"/>
      <c r="J2" s="1288" t="s">
        <v>96</v>
      </c>
      <c r="K2" s="1289"/>
    </row>
    <row r="3" spans="1:11" ht="30">
      <c r="A3" s="1285"/>
      <c r="B3" s="55" t="s">
        <v>141</v>
      </c>
      <c r="C3" s="55" t="s">
        <v>1411</v>
      </c>
      <c r="D3" s="55" t="s">
        <v>141</v>
      </c>
      <c r="E3" s="55" t="s">
        <v>1411</v>
      </c>
      <c r="F3" s="55" t="s">
        <v>141</v>
      </c>
      <c r="G3" s="55" t="s">
        <v>1411</v>
      </c>
      <c r="H3" s="55" t="s">
        <v>141</v>
      </c>
      <c r="I3" s="55" t="s">
        <v>1411</v>
      </c>
      <c r="J3" s="81" t="s">
        <v>141</v>
      </c>
      <c r="K3" s="55" t="s">
        <v>1411</v>
      </c>
    </row>
    <row r="4" spans="1:11">
      <c r="A4" s="422" t="s">
        <v>518</v>
      </c>
      <c r="B4" s="82">
        <v>0</v>
      </c>
      <c r="C4" s="82">
        <v>0</v>
      </c>
      <c r="D4" s="82">
        <v>3</v>
      </c>
      <c r="E4" s="82">
        <v>266.53775969999998</v>
      </c>
      <c r="F4" s="82">
        <v>0</v>
      </c>
      <c r="G4" s="82">
        <v>0</v>
      </c>
      <c r="H4" s="82">
        <v>58</v>
      </c>
      <c r="I4" s="82">
        <v>68704.953550000006</v>
      </c>
      <c r="J4" s="82">
        <v>61</v>
      </c>
      <c r="K4" s="82">
        <v>68971.49130970001</v>
      </c>
    </row>
    <row r="5" spans="1:11">
      <c r="A5" s="423" t="s">
        <v>743</v>
      </c>
      <c r="B5" s="248">
        <f>SUM(B6:B17)</f>
        <v>1</v>
      </c>
      <c r="C5" s="248">
        <f t="shared" ref="C5:K5" si="0">SUM(C6:C17)</f>
        <v>248.50344000000001</v>
      </c>
      <c r="D5" s="248">
        <f t="shared" si="0"/>
        <v>1</v>
      </c>
      <c r="E5" s="248">
        <f t="shared" si="0"/>
        <v>24.84</v>
      </c>
      <c r="F5" s="248">
        <f t="shared" si="0"/>
        <v>0</v>
      </c>
      <c r="G5" s="248">
        <f t="shared" si="0"/>
        <v>0</v>
      </c>
      <c r="H5" s="248">
        <f>SUM(H6:H17)</f>
        <v>36</v>
      </c>
      <c r="I5" s="248">
        <f>SUM(I6:I17)</f>
        <v>42993.934567101991</v>
      </c>
      <c r="J5" s="248">
        <f t="shared" si="0"/>
        <v>38</v>
      </c>
      <c r="K5" s="248">
        <f t="shared" si="0"/>
        <v>43267.278007101995</v>
      </c>
    </row>
    <row r="6" spans="1:11">
      <c r="A6" s="174">
        <v>45412</v>
      </c>
      <c r="B6" s="128">
        <v>0</v>
      </c>
      <c r="C6" s="128">
        <v>0</v>
      </c>
      <c r="D6" s="128">
        <v>0</v>
      </c>
      <c r="E6" s="128">
        <v>0</v>
      </c>
      <c r="F6" s="128">
        <v>0</v>
      </c>
      <c r="G6" s="128">
        <v>0</v>
      </c>
      <c r="H6" s="128">
        <v>11</v>
      </c>
      <c r="I6" s="128">
        <v>11471.732781210001</v>
      </c>
      <c r="J6" s="128">
        <f>SUM(B6,D6,F6,H6)</f>
        <v>11</v>
      </c>
      <c r="K6" s="128">
        <f>SUM(C6,E6,G6,I6)</f>
        <v>11471.732781210001</v>
      </c>
    </row>
    <row r="7" spans="1:11">
      <c r="A7" s="174">
        <v>45443</v>
      </c>
      <c r="B7" s="128">
        <v>0</v>
      </c>
      <c r="C7" s="128">
        <v>0</v>
      </c>
      <c r="D7" s="128">
        <v>0</v>
      </c>
      <c r="E7" s="128">
        <v>0</v>
      </c>
      <c r="F7" s="128">
        <v>0</v>
      </c>
      <c r="G7" s="128">
        <v>0</v>
      </c>
      <c r="H7" s="128">
        <v>2</v>
      </c>
      <c r="I7" s="128">
        <v>3039.9998919999998</v>
      </c>
      <c r="J7" s="128">
        <f t="shared" ref="J7:K10" si="1">SUM(B7,D7,F7,H7)</f>
        <v>2</v>
      </c>
      <c r="K7" s="128">
        <f t="shared" si="1"/>
        <v>3039.9998919999998</v>
      </c>
    </row>
    <row r="8" spans="1:11">
      <c r="A8" s="174">
        <v>45473</v>
      </c>
      <c r="B8" s="128">
        <v>0</v>
      </c>
      <c r="C8" s="128">
        <v>0</v>
      </c>
      <c r="D8" s="128">
        <v>1</v>
      </c>
      <c r="E8" s="128">
        <v>24.84</v>
      </c>
      <c r="F8" s="128">
        <v>0</v>
      </c>
      <c r="G8" s="128">
        <v>0</v>
      </c>
      <c r="H8" s="128">
        <v>5</v>
      </c>
      <c r="I8" s="128">
        <v>2749.9996000000001</v>
      </c>
      <c r="J8" s="128">
        <f t="shared" si="1"/>
        <v>6</v>
      </c>
      <c r="K8" s="128">
        <f t="shared" si="1"/>
        <v>2774.8396000000002</v>
      </c>
    </row>
    <row r="9" spans="1:11">
      <c r="A9" s="174">
        <v>45504</v>
      </c>
      <c r="B9" s="128">
        <v>0</v>
      </c>
      <c r="C9" s="128">
        <v>0</v>
      </c>
      <c r="D9" s="128">
        <v>0</v>
      </c>
      <c r="E9" s="128">
        <v>0</v>
      </c>
      <c r="F9" s="128">
        <v>0</v>
      </c>
      <c r="G9" s="128">
        <v>0</v>
      </c>
      <c r="H9" s="7">
        <v>11</v>
      </c>
      <c r="I9" s="128">
        <v>13699.104579524997</v>
      </c>
      <c r="J9" s="128">
        <f t="shared" si="1"/>
        <v>11</v>
      </c>
      <c r="K9" s="128">
        <f t="shared" si="1"/>
        <v>13699.104579524997</v>
      </c>
    </row>
    <row r="10" spans="1:11">
      <c r="A10" s="174">
        <v>45535</v>
      </c>
      <c r="B10" s="7">
        <v>1</v>
      </c>
      <c r="C10" s="128">
        <v>248.50344000000001</v>
      </c>
      <c r="D10" s="128">
        <v>0</v>
      </c>
      <c r="E10" s="128">
        <v>0</v>
      </c>
      <c r="F10" s="128">
        <v>0</v>
      </c>
      <c r="G10" s="128">
        <v>0</v>
      </c>
      <c r="H10" s="7">
        <v>7</v>
      </c>
      <c r="I10" s="128">
        <v>12033.097714366997</v>
      </c>
      <c r="J10" s="128">
        <f t="shared" si="1"/>
        <v>8</v>
      </c>
      <c r="K10" s="128">
        <f t="shared" si="1"/>
        <v>12281.601154366997</v>
      </c>
    </row>
    <row r="11" spans="1:11">
      <c r="A11" s="174">
        <v>45565</v>
      </c>
      <c r="B11" s="7"/>
      <c r="C11" s="7"/>
      <c r="D11" s="7"/>
      <c r="E11" s="7"/>
      <c r="F11" s="7"/>
      <c r="G11" s="7"/>
      <c r="H11" s="127"/>
      <c r="I11" s="127"/>
      <c r="J11" s="128"/>
      <c r="K11" s="128"/>
    </row>
    <row r="12" spans="1:11">
      <c r="A12" s="174">
        <v>45596</v>
      </c>
      <c r="B12" s="7"/>
      <c r="C12" s="7"/>
      <c r="D12" s="7"/>
      <c r="E12" s="7"/>
      <c r="F12" s="7"/>
      <c r="G12" s="7"/>
      <c r="H12" s="127"/>
      <c r="I12" s="127"/>
      <c r="J12" s="128"/>
      <c r="K12" s="128"/>
    </row>
    <row r="13" spans="1:11">
      <c r="A13" s="174">
        <v>45626</v>
      </c>
      <c r="B13" s="7"/>
      <c r="C13" s="7"/>
      <c r="D13" s="7"/>
      <c r="E13" s="7"/>
      <c r="F13" s="7"/>
      <c r="G13" s="7"/>
      <c r="H13" s="167"/>
      <c r="I13" s="167"/>
      <c r="J13" s="128"/>
      <c r="K13" s="128"/>
    </row>
    <row r="14" spans="1:11">
      <c r="A14" s="174">
        <v>45657</v>
      </c>
      <c r="B14" s="7"/>
      <c r="C14" s="7"/>
      <c r="D14" s="238"/>
      <c r="E14" s="242"/>
      <c r="F14" s="7"/>
      <c r="G14" s="7"/>
      <c r="H14" s="167"/>
      <c r="I14" s="167"/>
      <c r="J14" s="128"/>
      <c r="K14" s="128"/>
    </row>
    <row r="15" spans="1:11">
      <c r="A15" s="174">
        <v>45688</v>
      </c>
      <c r="B15" s="7"/>
      <c r="C15" s="7"/>
      <c r="D15" s="7"/>
      <c r="E15" s="7"/>
      <c r="F15" s="7"/>
      <c r="G15" s="7"/>
      <c r="H15" s="238"/>
      <c r="I15" s="167"/>
      <c r="J15" s="128"/>
      <c r="K15" s="128"/>
    </row>
    <row r="16" spans="1:11">
      <c r="A16" s="174">
        <v>45716</v>
      </c>
      <c r="B16" s="7"/>
      <c r="C16" s="7"/>
      <c r="D16" s="7"/>
      <c r="E16" s="7"/>
      <c r="F16" s="7"/>
      <c r="G16" s="7"/>
      <c r="H16" s="238"/>
      <c r="I16" s="239"/>
      <c r="J16" s="128"/>
      <c r="K16" s="128"/>
    </row>
    <row r="17" spans="1:11">
      <c r="A17" s="174">
        <v>45747</v>
      </c>
      <c r="B17" s="7"/>
      <c r="C17" s="7"/>
      <c r="D17" s="238"/>
      <c r="E17" s="242"/>
      <c r="F17" s="7"/>
      <c r="G17" s="7"/>
      <c r="H17" s="238"/>
      <c r="I17" s="239"/>
      <c r="J17" s="128"/>
      <c r="K17" s="128"/>
    </row>
    <row r="18" spans="1:11" s="331" customFormat="1">
      <c r="A18" s="743" t="str">
        <f>"$ indicates as on "&amp;TEXT(IF(COUNT(B6:B17)=1,A6,IF(COUNT(B6:B17)=2,A7,IF(COUNT(B6:B17)=3,A8,IF(COUNT(B6:B17)=4,A9,IF(COUNT(B6:B17)=5,A10,IF(COUNT(B6:B17)=6,A11,IF(COUNT(B6:B17)=7,A12,IF(COUNT(B6:B17)=8,A13,IF(COUNT(B6:B17)=9,A14,IF(COUNT(B6:B17)=10,A15,IF(COUNT(B6:B17)=11,A16,A17))))))))))),"mmmm dd, yyyy")</f>
        <v>$ indicates as on August 31, 2024</v>
      </c>
      <c r="B18" s="1142"/>
      <c r="C18" s="1142"/>
      <c r="D18" s="1142"/>
      <c r="E18" s="1143"/>
      <c r="F18" s="1142"/>
      <c r="G18" s="1142"/>
      <c r="H18" s="1142"/>
      <c r="I18" s="1144"/>
      <c r="J18" s="1145"/>
      <c r="K18" s="1145"/>
    </row>
    <row r="19" spans="1:11" ht="15" customHeight="1">
      <c r="A19" s="1290" t="s">
        <v>168</v>
      </c>
      <c r="B19" s="1290"/>
      <c r="C19" s="1290"/>
      <c r="D19" s="1290"/>
      <c r="E19" s="1290"/>
      <c r="F19" s="1290"/>
      <c r="G19" s="1290"/>
      <c r="H19" s="1290"/>
      <c r="I19" s="1290"/>
      <c r="J19" s="1290"/>
      <c r="K19" s="1290"/>
    </row>
    <row r="20" spans="1:11" ht="15" customHeight="1">
      <c r="A20" s="1203" t="s">
        <v>169</v>
      </c>
      <c r="B20" s="1203"/>
      <c r="C20" s="1203"/>
      <c r="D20" s="1203"/>
      <c r="E20" s="1161"/>
      <c r="F20" s="1161"/>
      <c r="G20" s="1161"/>
      <c r="H20" s="1161"/>
      <c r="I20" s="1161"/>
      <c r="J20" s="1162"/>
      <c r="K20" s="1162"/>
    </row>
    <row r="21" spans="1:11">
      <c r="B21" s="83"/>
      <c r="C21" s="25"/>
      <c r="D21" s="83"/>
      <c r="E21" s="25"/>
      <c r="F21" s="22"/>
      <c r="G21" s="22"/>
      <c r="H21" s="22"/>
      <c r="I21" s="22"/>
      <c r="J21" s="22"/>
      <c r="K21" s="22"/>
    </row>
    <row r="22" spans="1:11">
      <c r="A22" s="24"/>
      <c r="B22" s="83"/>
      <c r="C22" s="25"/>
      <c r="D22" s="83"/>
      <c r="E22" s="25"/>
      <c r="F22" s="22"/>
      <c r="G22" s="22"/>
      <c r="H22" s="83"/>
      <c r="I22" s="25"/>
      <c r="J22" s="22"/>
      <c r="K22" s="25"/>
    </row>
    <row r="23" spans="1:11">
      <c r="A23" s="24"/>
      <c r="B23" s="13"/>
      <c r="C23" s="13"/>
      <c r="D23" s="13"/>
      <c r="E23" s="13"/>
      <c r="F23" s="13"/>
      <c r="G23" s="13"/>
      <c r="H23" s="83"/>
      <c r="I23" s="25"/>
      <c r="J23" s="22"/>
      <c r="K23" s="25"/>
    </row>
    <row r="24" spans="1:11">
      <c r="A24" s="24"/>
      <c r="B24" s="13"/>
      <c r="C24" s="13"/>
      <c r="D24" s="13"/>
      <c r="E24" s="13"/>
      <c r="F24" s="13"/>
      <c r="G24" s="13"/>
      <c r="H24" s="13"/>
      <c r="I24" s="13"/>
      <c r="J24" s="13"/>
      <c r="K24" s="13"/>
    </row>
    <row r="25" spans="1:11">
      <c r="A25" s="24"/>
      <c r="B25" s="13"/>
      <c r="C25" s="13"/>
      <c r="D25" s="13"/>
      <c r="E25" s="13"/>
      <c r="F25" s="13"/>
      <c r="G25" s="13"/>
      <c r="H25" s="13"/>
      <c r="I25" s="13"/>
      <c r="J25" s="13"/>
      <c r="K25" s="13"/>
    </row>
    <row r="26" spans="1:11">
      <c r="A26" s="79"/>
      <c r="B26" s="84"/>
      <c r="C26" s="84"/>
      <c r="D26" s="84"/>
      <c r="E26" s="84"/>
      <c r="F26" s="84"/>
      <c r="G26" s="84"/>
      <c r="H26" s="84"/>
      <c r="I26" s="84"/>
      <c r="J26" s="84"/>
      <c r="K26" s="84"/>
    </row>
    <row r="27" spans="1:11">
      <c r="A27" s="79"/>
      <c r="B27" s="84"/>
      <c r="C27" s="84"/>
      <c r="D27" s="84"/>
      <c r="E27" s="84"/>
      <c r="F27" s="84"/>
      <c r="G27" s="84"/>
      <c r="H27" s="84"/>
      <c r="I27" s="84"/>
      <c r="J27" s="84"/>
      <c r="K27" s="84"/>
    </row>
    <row r="28" spans="1:11">
      <c r="A28" s="54"/>
      <c r="B28" s="84"/>
      <c r="C28" s="84"/>
      <c r="D28" s="84"/>
      <c r="E28" s="84"/>
      <c r="F28" s="84"/>
      <c r="G28" s="84"/>
      <c r="H28" s="84"/>
      <c r="I28" s="84"/>
      <c r="J28" s="84"/>
      <c r="K28" s="84"/>
    </row>
  </sheetData>
  <mergeCells count="9">
    <mergeCell ref="J2:K2"/>
    <mergeCell ref="A19:K19"/>
    <mergeCell ref="A20:D20"/>
    <mergeCell ref="A1:I1"/>
    <mergeCell ref="A2:A3"/>
    <mergeCell ref="B2:C2"/>
    <mergeCell ref="D2:E2"/>
    <mergeCell ref="F2:G2"/>
    <mergeCell ref="H2:I2"/>
  </mergeCells>
  <printOptions horizontalCentered="1"/>
  <pageMargins left="0.7" right="0.7" top="0.75" bottom="0.75" header="0.3" footer="0.3"/>
  <pageSetup paperSize="9" orientation="landscape"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
  <dimension ref="A1:V33"/>
  <sheetViews>
    <sheetView workbookViewId="0">
      <selection sqref="A1:I1"/>
    </sheetView>
  </sheetViews>
  <sheetFormatPr defaultRowHeight="15"/>
  <cols>
    <col min="1" max="1" width="15.140625" customWidth="1"/>
  </cols>
  <sheetData>
    <row r="1" spans="1:22">
      <c r="A1" s="1283" t="s">
        <v>8</v>
      </c>
      <c r="B1" s="1283"/>
      <c r="C1" s="1283"/>
      <c r="D1" s="1283"/>
      <c r="E1" s="1283"/>
      <c r="F1" s="1283"/>
      <c r="G1" s="1283"/>
      <c r="H1" s="1283"/>
      <c r="I1" s="1283"/>
      <c r="J1" s="56"/>
      <c r="K1" s="56"/>
    </row>
    <row r="2" spans="1:22">
      <c r="A2" s="1291" t="s">
        <v>170</v>
      </c>
      <c r="B2" s="1288" t="s">
        <v>164</v>
      </c>
      <c r="C2" s="1289"/>
      <c r="D2" s="1288" t="s">
        <v>165</v>
      </c>
      <c r="E2" s="1289"/>
      <c r="F2" s="1288" t="s">
        <v>166</v>
      </c>
      <c r="G2" s="1289"/>
      <c r="H2" s="1288" t="s">
        <v>171</v>
      </c>
      <c r="I2" s="1289"/>
      <c r="J2" s="1288" t="s">
        <v>96</v>
      </c>
      <c r="K2" s="1289"/>
    </row>
    <row r="3" spans="1:22" ht="30">
      <c r="A3" s="1292"/>
      <c r="B3" s="85" t="s">
        <v>141</v>
      </c>
      <c r="C3" s="85" t="s">
        <v>1411</v>
      </c>
      <c r="D3" s="85" t="s">
        <v>141</v>
      </c>
      <c r="E3" s="85" t="s">
        <v>1411</v>
      </c>
      <c r="F3" s="85" t="s">
        <v>141</v>
      </c>
      <c r="G3" s="85" t="s">
        <v>1411</v>
      </c>
      <c r="H3" s="85" t="s">
        <v>141</v>
      </c>
      <c r="I3" s="85" t="s">
        <v>1411</v>
      </c>
      <c r="J3" s="85" t="s">
        <v>141</v>
      </c>
      <c r="K3" s="85" t="s">
        <v>1411</v>
      </c>
    </row>
    <row r="4" spans="1:22">
      <c r="A4" s="422" t="s">
        <v>518</v>
      </c>
      <c r="B4" s="168">
        <v>354</v>
      </c>
      <c r="C4" s="168">
        <v>10393.319999999998</v>
      </c>
      <c r="D4" s="168">
        <v>73</v>
      </c>
      <c r="E4" s="168">
        <v>1010.7463999999998</v>
      </c>
      <c r="F4" s="168">
        <v>5</v>
      </c>
      <c r="G4" s="168">
        <v>41.44</v>
      </c>
      <c r="H4" s="168">
        <v>257</v>
      </c>
      <c r="I4" s="168">
        <v>33709.596000000005</v>
      </c>
      <c r="J4" s="168">
        <v>689</v>
      </c>
      <c r="K4" s="168">
        <v>45155.102399999996</v>
      </c>
    </row>
    <row r="5" spans="1:22">
      <c r="A5" s="423" t="s">
        <v>743</v>
      </c>
      <c r="B5" s="249">
        <f>SUM(B6:B17)</f>
        <v>195</v>
      </c>
      <c r="C5" s="249">
        <f t="shared" ref="C5:K5" si="0">SUM(C6:C17)</f>
        <v>4157.3</v>
      </c>
      <c r="D5" s="249">
        <f t="shared" si="0"/>
        <v>70</v>
      </c>
      <c r="E5" s="249">
        <f t="shared" si="0"/>
        <v>849.15862805699999</v>
      </c>
      <c r="F5" s="249">
        <f t="shared" si="0"/>
        <v>1</v>
      </c>
      <c r="G5" s="249">
        <f t="shared" si="0"/>
        <v>5.0199999999999996</v>
      </c>
      <c r="H5" s="249">
        <f t="shared" si="0"/>
        <v>155</v>
      </c>
      <c r="I5" s="249">
        <f t="shared" si="0"/>
        <v>40363.483623799999</v>
      </c>
      <c r="J5" s="249">
        <f>SUM(J6:J17)</f>
        <v>421</v>
      </c>
      <c r="K5" s="249">
        <f t="shared" si="0"/>
        <v>45374.962251857003</v>
      </c>
      <c r="M5" s="21"/>
      <c r="N5" s="21"/>
      <c r="O5" s="21"/>
      <c r="P5" s="21"/>
      <c r="Q5" s="21"/>
      <c r="R5" s="21"/>
      <c r="S5" s="21"/>
      <c r="T5" s="21"/>
      <c r="U5" s="21"/>
      <c r="V5" s="21"/>
    </row>
    <row r="6" spans="1:22">
      <c r="A6" s="174">
        <v>45412</v>
      </c>
      <c r="B6" s="169">
        <v>51</v>
      </c>
      <c r="C6" s="169">
        <v>1387.3100000000002</v>
      </c>
      <c r="D6" s="169">
        <v>13</v>
      </c>
      <c r="E6" s="169">
        <v>206.12993134999999</v>
      </c>
      <c r="F6" s="169">
        <v>1</v>
      </c>
      <c r="G6" s="169">
        <v>5.0199999999999996</v>
      </c>
      <c r="H6" s="169">
        <v>42</v>
      </c>
      <c r="I6" s="169">
        <v>6103.73</v>
      </c>
      <c r="J6" s="169">
        <f t="shared" ref="J6:K10" si="1">B6+D6+F6+H6</f>
        <v>107</v>
      </c>
      <c r="K6" s="169">
        <f t="shared" si="1"/>
        <v>7702.1899313499998</v>
      </c>
    </row>
    <row r="7" spans="1:22">
      <c r="A7" s="174">
        <v>45443</v>
      </c>
      <c r="B7" s="169">
        <v>56</v>
      </c>
      <c r="C7" s="169">
        <v>839.50000000000011</v>
      </c>
      <c r="D7" s="169">
        <v>20</v>
      </c>
      <c r="E7" s="169">
        <v>185.11948339199998</v>
      </c>
      <c r="F7" s="169">
        <v>0</v>
      </c>
      <c r="G7" s="169">
        <v>0</v>
      </c>
      <c r="H7" s="169">
        <v>38</v>
      </c>
      <c r="I7" s="169">
        <v>23968.573617000002</v>
      </c>
      <c r="J7" s="169">
        <f t="shared" si="1"/>
        <v>114</v>
      </c>
      <c r="K7" s="169">
        <f t="shared" si="1"/>
        <v>24993.193100392004</v>
      </c>
    </row>
    <row r="8" spans="1:22">
      <c r="A8" s="174">
        <v>45473</v>
      </c>
      <c r="B8" s="169">
        <v>26</v>
      </c>
      <c r="C8" s="169">
        <v>822.4</v>
      </c>
      <c r="D8" s="169">
        <v>13</v>
      </c>
      <c r="E8" s="169">
        <v>187.04359809999997</v>
      </c>
      <c r="F8" s="169">
        <v>0</v>
      </c>
      <c r="G8" s="169">
        <v>0</v>
      </c>
      <c r="H8" s="169">
        <v>22</v>
      </c>
      <c r="I8" s="169">
        <v>5985.75</v>
      </c>
      <c r="J8" s="169">
        <f t="shared" si="1"/>
        <v>61</v>
      </c>
      <c r="K8" s="169">
        <f t="shared" si="1"/>
        <v>6995.1935980999997</v>
      </c>
    </row>
    <row r="9" spans="1:22">
      <c r="A9" s="174">
        <v>45504</v>
      </c>
      <c r="B9" s="169">
        <v>32</v>
      </c>
      <c r="C9" s="169">
        <v>489.7</v>
      </c>
      <c r="D9" s="169">
        <v>12</v>
      </c>
      <c r="E9" s="169">
        <v>119.80251000000001</v>
      </c>
      <c r="F9" s="169">
        <v>0</v>
      </c>
      <c r="G9" s="169">
        <v>0</v>
      </c>
      <c r="H9" s="169">
        <v>19</v>
      </c>
      <c r="I9" s="169">
        <v>3714.7100068</v>
      </c>
      <c r="J9" s="169">
        <f t="shared" si="1"/>
        <v>63</v>
      </c>
      <c r="K9" s="169">
        <f t="shared" si="1"/>
        <v>4324.2125168000002</v>
      </c>
    </row>
    <row r="10" spans="1:22">
      <c r="A10" s="174">
        <v>45535</v>
      </c>
      <c r="B10" s="169">
        <v>30</v>
      </c>
      <c r="C10" s="169">
        <v>618.3900000000001</v>
      </c>
      <c r="D10" s="169">
        <v>12</v>
      </c>
      <c r="E10" s="169">
        <v>151.06310521500001</v>
      </c>
      <c r="F10" s="169">
        <v>0</v>
      </c>
      <c r="G10" s="169">
        <v>0</v>
      </c>
      <c r="H10" s="169">
        <v>34</v>
      </c>
      <c r="I10" s="169">
        <v>590.71999999999991</v>
      </c>
      <c r="J10" s="169">
        <f>B10+D10+F10+H10</f>
        <v>76</v>
      </c>
      <c r="K10" s="169">
        <f t="shared" si="1"/>
        <v>1360.1731052149999</v>
      </c>
    </row>
    <row r="11" spans="1:22">
      <c r="A11" s="174">
        <v>45565</v>
      </c>
      <c r="B11" s="169"/>
      <c r="C11" s="169"/>
      <c r="D11" s="169"/>
      <c r="E11" s="169"/>
      <c r="F11" s="169"/>
      <c r="G11" s="169"/>
      <c r="H11" s="169"/>
      <c r="I11" s="169"/>
      <c r="J11" s="169"/>
      <c r="K11" s="169"/>
    </row>
    <row r="12" spans="1:22">
      <c r="A12" s="174">
        <v>45596</v>
      </c>
      <c r="B12" s="169"/>
      <c r="C12" s="169"/>
      <c r="D12" s="254"/>
      <c r="E12" s="255"/>
      <c r="F12" s="169"/>
      <c r="G12" s="169"/>
      <c r="H12" s="169"/>
      <c r="I12" s="169"/>
      <c r="J12" s="169"/>
      <c r="K12" s="169"/>
    </row>
    <row r="13" spans="1:22">
      <c r="A13" s="174">
        <v>45626</v>
      </c>
      <c r="B13" s="169"/>
      <c r="C13" s="169"/>
      <c r="D13" s="169"/>
      <c r="E13" s="169"/>
      <c r="F13" s="169"/>
      <c r="G13" s="169"/>
      <c r="H13" s="169"/>
      <c r="I13" s="169"/>
      <c r="J13" s="169"/>
      <c r="K13" s="169"/>
    </row>
    <row r="14" spans="1:22">
      <c r="A14" s="174">
        <v>45657</v>
      </c>
      <c r="B14" s="169"/>
      <c r="C14" s="169"/>
      <c r="D14" s="169"/>
      <c r="E14" s="169"/>
      <c r="F14" s="169"/>
      <c r="G14" s="169"/>
      <c r="H14" s="169"/>
      <c r="I14" s="169"/>
      <c r="J14" s="169"/>
      <c r="K14" s="169"/>
    </row>
    <row r="15" spans="1:22">
      <c r="A15" s="174">
        <v>45688</v>
      </c>
      <c r="B15" s="169"/>
      <c r="C15" s="169"/>
      <c r="D15" s="169"/>
      <c r="E15" s="169"/>
      <c r="F15" s="169"/>
      <c r="G15" s="169"/>
      <c r="H15" s="169"/>
      <c r="I15" s="169"/>
      <c r="J15" s="169"/>
      <c r="K15" s="169"/>
    </row>
    <row r="16" spans="1:22">
      <c r="A16" s="174">
        <v>45716</v>
      </c>
      <c r="B16" s="282"/>
      <c r="C16" s="169"/>
      <c r="D16" s="169"/>
      <c r="E16" s="169"/>
      <c r="F16" s="169"/>
      <c r="G16" s="169"/>
      <c r="H16" s="169"/>
      <c r="I16" s="169"/>
      <c r="J16" s="169"/>
      <c r="K16" s="169"/>
    </row>
    <row r="17" spans="1:11">
      <c r="A17" s="174">
        <v>45747</v>
      </c>
      <c r="B17" s="254"/>
      <c r="C17" s="169"/>
      <c r="D17" s="169"/>
      <c r="E17" s="169"/>
      <c r="F17" s="169"/>
      <c r="G17" s="169"/>
      <c r="H17" s="169"/>
      <c r="I17" s="169"/>
      <c r="J17" s="169"/>
      <c r="K17" s="169"/>
    </row>
    <row r="18" spans="1:11" s="331" customFormat="1">
      <c r="A18" s="743" t="str">
        <f>"$ indicates as on "&amp;TEXT(IF(COUNT(B6:B17)=1,A6,IF(COUNT(B6:B17)=2,A7,IF(COUNT(B6:B17)=3,A8,IF(COUNT(B6:B17)=4,A9,IF(COUNT(B6:B17)=5,A10,IF(COUNT(B6:B17)=6,A11,IF(COUNT(B6:B17)=7,A12,IF(COUNT(B6:B17)=8,A13,IF(COUNT(B6:B17)=9,A14,IF(COUNT(B6:B17)=10,A15,IF(COUNT(B6:B17)=11,A16,A17))))))))))),"mmmm dd, yyyy")</f>
        <v>$ indicates as on August 31, 2024</v>
      </c>
      <c r="B18" s="1146"/>
      <c r="C18" s="1147"/>
      <c r="D18" s="1147"/>
      <c r="E18" s="1147"/>
      <c r="F18" s="1147"/>
      <c r="G18" s="1147"/>
      <c r="H18" s="1147"/>
      <c r="I18" s="1147"/>
      <c r="J18" s="1147"/>
      <c r="K18" s="1147"/>
    </row>
    <row r="19" spans="1:11">
      <c r="A19" s="5" t="s">
        <v>172</v>
      </c>
      <c r="B19" s="5"/>
      <c r="C19" s="5"/>
      <c r="D19" s="23"/>
      <c r="E19" s="23"/>
      <c r="F19" s="23"/>
      <c r="G19" s="23"/>
      <c r="H19" s="23"/>
      <c r="I19" s="23"/>
      <c r="J19" s="23"/>
      <c r="K19" s="23"/>
    </row>
    <row r="20" spans="1:11">
      <c r="A20" s="64" t="s">
        <v>169</v>
      </c>
      <c r="B20" s="64"/>
      <c r="C20" s="26"/>
      <c r="D20" s="23"/>
      <c r="E20" s="23"/>
      <c r="F20" s="23"/>
      <c r="G20" s="23"/>
      <c r="H20" s="23"/>
      <c r="I20" s="23"/>
      <c r="J20" s="23"/>
      <c r="K20" s="23"/>
    </row>
    <row r="21" spans="1:11">
      <c r="B21" s="23"/>
      <c r="C21" s="23"/>
      <c r="D21" s="23"/>
      <c r="E21" s="23"/>
      <c r="F21" s="23"/>
      <c r="G21" s="23"/>
      <c r="H21" s="23"/>
      <c r="I21" s="23"/>
      <c r="J21" s="23"/>
      <c r="K21" s="23"/>
    </row>
    <row r="22" spans="1:11">
      <c r="A22" s="24"/>
      <c r="B22" s="86"/>
      <c r="C22" s="86"/>
      <c r="D22" s="86"/>
      <c r="E22" s="86"/>
      <c r="F22" s="86"/>
      <c r="G22" s="86"/>
      <c r="H22" s="86"/>
      <c r="I22" s="86"/>
      <c r="J22" s="86"/>
      <c r="K22" s="86"/>
    </row>
    <row r="23" spans="1:11">
      <c r="A23" s="24"/>
      <c r="B23" s="86"/>
      <c r="C23" s="86"/>
      <c r="D23" s="86"/>
      <c r="E23" s="86"/>
      <c r="F23" s="86"/>
      <c r="G23" s="86"/>
      <c r="H23" s="86"/>
      <c r="I23" s="87"/>
      <c r="J23" s="86"/>
      <c r="K23" s="86"/>
    </row>
    <row r="24" spans="1:11">
      <c r="A24" s="24"/>
      <c r="B24" s="86"/>
      <c r="C24" s="86"/>
      <c r="D24" s="86"/>
      <c r="E24" s="86"/>
      <c r="F24" s="86"/>
      <c r="G24" s="86"/>
      <c r="H24" s="86"/>
      <c r="I24" s="86"/>
      <c r="J24" s="86"/>
      <c r="K24" s="86"/>
    </row>
    <row r="25" spans="1:11">
      <c r="A25" s="24"/>
      <c r="B25" s="86"/>
      <c r="C25" s="86"/>
      <c r="D25" s="86"/>
      <c r="E25" s="86"/>
      <c r="F25" s="86"/>
      <c r="G25" s="86"/>
      <c r="H25" s="86"/>
      <c r="I25" s="86"/>
      <c r="J25" s="86"/>
      <c r="K25" s="86"/>
    </row>
    <row r="26" spans="1:11">
      <c r="A26" s="79"/>
      <c r="B26" s="88"/>
      <c r="C26" s="88"/>
      <c r="D26" s="88"/>
      <c r="E26" s="88"/>
      <c r="F26" s="88"/>
      <c r="G26" s="88"/>
      <c r="H26" s="88"/>
      <c r="I26" s="89"/>
      <c r="J26" s="88"/>
      <c r="K26" s="89"/>
    </row>
    <row r="27" spans="1:11">
      <c r="A27" s="79"/>
      <c r="B27" s="88"/>
      <c r="C27" s="88"/>
      <c r="D27" s="88"/>
      <c r="E27" s="88"/>
      <c r="F27" s="88"/>
      <c r="G27" s="88"/>
      <c r="H27" s="88"/>
      <c r="I27" s="88"/>
      <c r="J27" s="88"/>
      <c r="K27" s="88"/>
    </row>
    <row r="28" spans="1:11">
      <c r="A28" s="54"/>
      <c r="B28" s="88"/>
      <c r="C28" s="88"/>
      <c r="D28" s="88"/>
      <c r="E28" s="88"/>
      <c r="F28" s="88"/>
      <c r="G28" s="88"/>
      <c r="H28" s="88"/>
      <c r="I28" s="88"/>
      <c r="J28" s="88"/>
      <c r="K28" s="88"/>
    </row>
    <row r="29" spans="1:11">
      <c r="A29" s="54"/>
      <c r="B29" s="88"/>
      <c r="C29" s="88"/>
      <c r="D29" s="88"/>
      <c r="E29" s="88"/>
      <c r="F29" s="88"/>
      <c r="G29" s="88"/>
      <c r="H29" s="88"/>
      <c r="I29" s="88"/>
      <c r="J29" s="88"/>
      <c r="K29" s="88"/>
    </row>
    <row r="31" spans="1:11">
      <c r="D31" s="90"/>
      <c r="E31" s="72"/>
      <c r="F31" s="72"/>
      <c r="G31" s="72"/>
      <c r="H31" s="72"/>
      <c r="I31" s="72"/>
      <c r="J31" s="72"/>
      <c r="K31" s="72"/>
    </row>
    <row r="32" spans="1:11">
      <c r="D32" s="26"/>
      <c r="E32" s="72"/>
      <c r="F32" s="72"/>
      <c r="G32" s="72"/>
      <c r="H32" s="72"/>
      <c r="I32" s="72"/>
      <c r="J32" s="72"/>
      <c r="K32" s="72"/>
    </row>
    <row r="33" spans="4:11">
      <c r="D33" s="91"/>
      <c r="E33" s="91"/>
      <c r="F33" s="91"/>
      <c r="G33" s="91"/>
      <c r="H33" s="91"/>
      <c r="I33" s="91"/>
      <c r="J33" s="91"/>
      <c r="K33" s="91"/>
    </row>
  </sheetData>
  <mergeCells count="7">
    <mergeCell ref="J2:K2"/>
    <mergeCell ref="A1:I1"/>
    <mergeCell ref="A2:A3"/>
    <mergeCell ref="B2:C2"/>
    <mergeCell ref="D2:E2"/>
    <mergeCell ref="F2:G2"/>
    <mergeCell ref="H2:I2"/>
  </mergeCells>
  <printOptions horizontalCentered="1"/>
  <pageMargins left="0.7" right="0.7" top="0.75" bottom="0.75" header="0.3" footer="0.3"/>
  <pageSetup paperSize="9" orientation="landscape"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
    <pageSetUpPr fitToPage="1"/>
  </sheetPr>
  <dimension ref="A1:U23"/>
  <sheetViews>
    <sheetView workbookViewId="0">
      <selection activeCell="H14" sqref="H14"/>
    </sheetView>
  </sheetViews>
  <sheetFormatPr defaultColWidth="9.140625" defaultRowHeight="15"/>
  <cols>
    <col min="1" max="2" width="14.5703125" style="92" bestFit="1" customWidth="1"/>
    <col min="3" max="3" width="15.85546875" style="92" bestFit="1" customWidth="1"/>
    <col min="4" max="4" width="14.5703125" style="92" bestFit="1" customWidth="1"/>
    <col min="5" max="5" width="15.85546875" style="92" bestFit="1" customWidth="1"/>
    <col min="6" max="6" width="14.5703125" style="92" bestFit="1" customWidth="1"/>
    <col min="7" max="7" width="15.85546875" style="92" bestFit="1" customWidth="1"/>
    <col min="8" max="8" width="9.5703125" style="92" customWidth="1"/>
    <col min="9" max="9" width="15.85546875" style="92" bestFit="1" customWidth="1"/>
    <col min="10" max="10" width="8.5703125" style="92" customWidth="1"/>
    <col min="11" max="16384" width="9.140625" style="92"/>
  </cols>
  <sheetData>
    <row r="1" spans="1:21" ht="15.75" customHeight="1">
      <c r="A1" s="1294" t="s">
        <v>742</v>
      </c>
      <c r="B1" s="1294"/>
      <c r="C1" s="1294"/>
      <c r="D1" s="1294"/>
      <c r="E1" s="1294"/>
      <c r="F1" s="1294"/>
      <c r="G1" s="1294"/>
      <c r="H1" s="1294"/>
      <c r="I1" s="1294"/>
    </row>
    <row r="2" spans="1:21" s="93" customFormat="1" ht="18" customHeight="1">
      <c r="A2" s="1295" t="s">
        <v>170</v>
      </c>
      <c r="B2" s="1297" t="s">
        <v>165</v>
      </c>
      <c r="C2" s="1298"/>
      <c r="D2" s="1297" t="s">
        <v>164</v>
      </c>
      <c r="E2" s="1298"/>
      <c r="F2" s="1297" t="s">
        <v>167</v>
      </c>
      <c r="G2" s="1298"/>
      <c r="H2" s="1297" t="s">
        <v>96</v>
      </c>
      <c r="I2" s="1298"/>
    </row>
    <row r="3" spans="1:21" s="93" customFormat="1" ht="27" customHeight="1">
      <c r="A3" s="1296"/>
      <c r="B3" s="94" t="s">
        <v>141</v>
      </c>
      <c r="C3" s="94" t="s">
        <v>1411</v>
      </c>
      <c r="D3" s="94" t="s">
        <v>141</v>
      </c>
      <c r="E3" s="94" t="s">
        <v>1411</v>
      </c>
      <c r="F3" s="94" t="s">
        <v>141</v>
      </c>
      <c r="G3" s="94" t="s">
        <v>1411</v>
      </c>
      <c r="H3" s="94" t="s">
        <v>141</v>
      </c>
      <c r="I3" s="94" t="s">
        <v>1411</v>
      </c>
    </row>
    <row r="4" spans="1:21" s="97" customFormat="1" ht="18" customHeight="1">
      <c r="A4" s="422" t="s">
        <v>518</v>
      </c>
      <c r="B4" s="354">
        <v>288</v>
      </c>
      <c r="C4" s="354">
        <v>255227.82389999996</v>
      </c>
      <c r="D4" s="354">
        <v>945</v>
      </c>
      <c r="E4" s="354">
        <v>297407.27326509001</v>
      </c>
      <c r="F4" s="354">
        <v>114</v>
      </c>
      <c r="G4" s="354">
        <v>285120.4498</v>
      </c>
      <c r="H4" s="354">
        <v>1347</v>
      </c>
      <c r="I4" s="355">
        <v>837755.54696509009</v>
      </c>
    </row>
    <row r="5" spans="1:21" s="97" customFormat="1" ht="18" customHeight="1">
      <c r="A5" s="423" t="s">
        <v>743</v>
      </c>
      <c r="B5" s="250">
        <f>SUM(B6:B17)</f>
        <v>121</v>
      </c>
      <c r="C5" s="250">
        <f t="shared" ref="C5:H5" si="0">SUM(C6:C17)</f>
        <v>97347.333899999998</v>
      </c>
      <c r="D5" s="250">
        <f t="shared" si="0"/>
        <v>477</v>
      </c>
      <c r="E5" s="250">
        <f t="shared" si="0"/>
        <v>122506.75</v>
      </c>
      <c r="F5" s="250">
        <f t="shared" si="0"/>
        <v>62</v>
      </c>
      <c r="G5" s="250">
        <f t="shared" si="0"/>
        <v>109631.6706</v>
      </c>
      <c r="H5" s="250">
        <f t="shared" si="0"/>
        <v>660</v>
      </c>
      <c r="I5" s="250">
        <f>SUM(I6:I17)</f>
        <v>329485.75450000004</v>
      </c>
      <c r="J5" s="98"/>
      <c r="K5" s="98"/>
      <c r="L5" s="98"/>
      <c r="M5" s="98"/>
      <c r="N5" s="98"/>
      <c r="O5" s="98"/>
      <c r="P5" s="98"/>
      <c r="Q5" s="98"/>
      <c r="R5" s="98"/>
      <c r="S5" s="98"/>
      <c r="T5" s="98"/>
      <c r="U5" s="98"/>
    </row>
    <row r="6" spans="1:21" s="93" customFormat="1" ht="18" customHeight="1">
      <c r="A6" s="174">
        <v>45412</v>
      </c>
      <c r="B6" s="356">
        <v>11</v>
      </c>
      <c r="C6" s="101">
        <v>9221.5999999999985</v>
      </c>
      <c r="D6" s="356">
        <v>83</v>
      </c>
      <c r="E6" s="101">
        <v>14558.000000000002</v>
      </c>
      <c r="F6" s="356">
        <v>7</v>
      </c>
      <c r="G6" s="101">
        <v>6728</v>
      </c>
      <c r="H6" s="103">
        <f>SUM(B6,D6,F6)</f>
        <v>101</v>
      </c>
      <c r="I6" s="102">
        <f>SUM(C6,E6,G6)</f>
        <v>30507.599999999999</v>
      </c>
    </row>
    <row r="7" spans="1:21" s="93" customFormat="1" ht="18" customHeight="1">
      <c r="A7" s="174">
        <v>45443</v>
      </c>
      <c r="B7" s="100">
        <v>25</v>
      </c>
      <c r="C7" s="101">
        <v>20114</v>
      </c>
      <c r="D7" s="100">
        <v>89</v>
      </c>
      <c r="E7" s="101">
        <v>30261</v>
      </c>
      <c r="F7" s="356">
        <v>9</v>
      </c>
      <c r="G7" s="101">
        <v>10852</v>
      </c>
      <c r="H7" s="103">
        <v>123</v>
      </c>
      <c r="I7" s="102">
        <v>61227</v>
      </c>
    </row>
    <row r="8" spans="1:21" s="93" customFormat="1" ht="18" customHeight="1">
      <c r="A8" s="174">
        <v>45473</v>
      </c>
      <c r="B8" s="100">
        <v>27</v>
      </c>
      <c r="C8" s="101">
        <v>18962.733899999999</v>
      </c>
      <c r="D8" s="100">
        <v>95</v>
      </c>
      <c r="E8" s="101">
        <v>22087.75</v>
      </c>
      <c r="F8" s="356">
        <v>9</v>
      </c>
      <c r="G8" s="101">
        <v>23246.670600000001</v>
      </c>
      <c r="H8" s="103">
        <f t="shared" ref="H8:I10" si="1">SUM(B8,D8,F8)</f>
        <v>131</v>
      </c>
      <c r="I8" s="102">
        <f t="shared" si="1"/>
        <v>64297.154500000004</v>
      </c>
    </row>
    <row r="9" spans="1:21" s="93" customFormat="1" ht="18" customHeight="1">
      <c r="A9" s="174">
        <v>45504</v>
      </c>
      <c r="B9" s="101">
        <v>30</v>
      </c>
      <c r="C9" s="101">
        <v>32469</v>
      </c>
      <c r="D9" s="101">
        <v>88</v>
      </c>
      <c r="E9" s="101">
        <v>29476</v>
      </c>
      <c r="F9" s="101">
        <v>17</v>
      </c>
      <c r="G9" s="101">
        <v>32098</v>
      </c>
      <c r="H9" s="103">
        <f t="shared" si="1"/>
        <v>135</v>
      </c>
      <c r="I9" s="102">
        <f t="shared" si="1"/>
        <v>94043</v>
      </c>
    </row>
    <row r="10" spans="1:21" s="93" customFormat="1" ht="18" customHeight="1">
      <c r="A10" s="174">
        <v>45535</v>
      </c>
      <c r="B10" s="101">
        <v>28</v>
      </c>
      <c r="C10" s="101">
        <v>16580</v>
      </c>
      <c r="D10" s="101">
        <v>122</v>
      </c>
      <c r="E10" s="101">
        <v>26124</v>
      </c>
      <c r="F10" s="101">
        <v>20</v>
      </c>
      <c r="G10" s="101">
        <v>36707</v>
      </c>
      <c r="H10" s="103">
        <f t="shared" si="1"/>
        <v>170</v>
      </c>
      <c r="I10" s="102">
        <f t="shared" si="1"/>
        <v>79411</v>
      </c>
    </row>
    <row r="11" spans="1:21" s="93" customFormat="1" ht="18" customHeight="1">
      <c r="A11" s="174">
        <v>45565</v>
      </c>
      <c r="B11" s="159"/>
      <c r="C11" s="159"/>
      <c r="D11" s="159"/>
      <c r="E11" s="159"/>
      <c r="F11" s="159"/>
      <c r="G11" s="159"/>
      <c r="H11" s="103"/>
      <c r="I11" s="102"/>
    </row>
    <row r="12" spans="1:21" s="93" customFormat="1" ht="18" customHeight="1">
      <c r="A12" s="174">
        <v>45596</v>
      </c>
      <c r="B12" s="159"/>
      <c r="C12" s="159"/>
      <c r="D12" s="159"/>
      <c r="E12" s="159"/>
      <c r="F12" s="159"/>
      <c r="G12" s="159"/>
      <c r="H12" s="103"/>
      <c r="I12" s="102"/>
    </row>
    <row r="13" spans="1:21" s="93" customFormat="1" ht="18" customHeight="1">
      <c r="A13" s="174">
        <v>45626</v>
      </c>
      <c r="B13" s="159"/>
      <c r="C13" s="159"/>
      <c r="D13" s="159"/>
      <c r="E13" s="159"/>
      <c r="F13" s="159"/>
      <c r="G13" s="159"/>
      <c r="H13" s="103"/>
      <c r="I13" s="102"/>
    </row>
    <row r="14" spans="1:21" s="93" customFormat="1" ht="18" customHeight="1">
      <c r="A14" s="174">
        <v>45657</v>
      </c>
      <c r="B14" s="159"/>
      <c r="C14" s="159"/>
      <c r="D14" s="159"/>
      <c r="E14" s="159"/>
      <c r="F14" s="159"/>
      <c r="G14" s="159"/>
      <c r="H14" s="103"/>
      <c r="I14" s="102"/>
    </row>
    <row r="15" spans="1:21" s="93" customFormat="1" ht="18" customHeight="1">
      <c r="A15" s="174">
        <v>45688</v>
      </c>
      <c r="B15" s="159"/>
      <c r="C15" s="159"/>
      <c r="D15" s="159"/>
      <c r="E15" s="159"/>
      <c r="F15" s="159"/>
      <c r="G15" s="159"/>
      <c r="H15" s="103"/>
      <c r="I15" s="102"/>
    </row>
    <row r="16" spans="1:21" s="93" customFormat="1" ht="18" customHeight="1">
      <c r="A16" s="174">
        <v>45716</v>
      </c>
      <c r="B16" s="177"/>
      <c r="C16" s="159"/>
      <c r="D16" s="159"/>
      <c r="E16" s="159"/>
      <c r="F16" s="159"/>
      <c r="G16" s="159"/>
      <c r="H16" s="103"/>
      <c r="I16" s="102"/>
    </row>
    <row r="17" spans="1:9" s="93" customFormat="1" ht="18" customHeight="1">
      <c r="A17" s="174">
        <v>45747</v>
      </c>
      <c r="B17" s="337"/>
      <c r="C17" s="338"/>
      <c r="D17" s="337"/>
      <c r="E17" s="338"/>
      <c r="F17" s="337"/>
      <c r="G17" s="338"/>
      <c r="H17" s="103"/>
      <c r="I17" s="102"/>
    </row>
    <row r="18" spans="1:9" s="330" customFormat="1" ht="18" customHeight="1">
      <c r="A18" s="743" t="str">
        <f>"$ indicates as on "&amp;TEXT(IF(COUNT(B6:B17)=1,A6,IF(COUNT(B6:B17)=2,A7,IF(COUNT(B6:B17)=3,A8,IF(COUNT(B6:B17)=4,A9,IF(COUNT(B6:B17)=5,A10,IF(COUNT(B6:B17)=6,A11,IF(COUNT(B6:B17)=7,A12,IF(COUNT(B6:B17)=8,A13,IF(COUNT(B6:B17)=9,A14,IF(COUNT(B6:B17)=10,A15,IF(COUNT(B6:B17)=11,A16,A17))))))))))),"mmmm dd, yyyy")</f>
        <v>$ indicates as on August 31, 2024</v>
      </c>
      <c r="B18" s="1148"/>
      <c r="C18" s="1149"/>
      <c r="D18" s="1148"/>
      <c r="E18" s="1149"/>
      <c r="F18" s="1148"/>
      <c r="G18" s="1149"/>
      <c r="H18" s="1150"/>
      <c r="I18" s="364"/>
    </row>
    <row r="19" spans="1:9" s="93" customFormat="1" ht="13.5" customHeight="1">
      <c r="A19" s="1293" t="s">
        <v>173</v>
      </c>
      <c r="B19" s="1293"/>
    </row>
    <row r="20" spans="1:9">
      <c r="C20" s="105"/>
      <c r="H20" s="106"/>
      <c r="I20" s="107"/>
    </row>
    <row r="21" spans="1:9">
      <c r="I21" s="105"/>
    </row>
    <row r="22" spans="1:9" ht="0.75" customHeight="1"/>
    <row r="23" spans="1:9">
      <c r="B23" s="106"/>
      <c r="C23" s="106"/>
      <c r="D23" s="106"/>
      <c r="E23" s="106"/>
      <c r="F23" s="106"/>
      <c r="G23" s="106"/>
      <c r="H23" s="106"/>
      <c r="I23" s="106"/>
    </row>
  </sheetData>
  <mergeCells count="7">
    <mergeCell ref="A19:B19"/>
    <mergeCell ref="A1:I1"/>
    <mergeCell ref="A2:A3"/>
    <mergeCell ref="B2:C2"/>
    <mergeCell ref="D2:E2"/>
    <mergeCell ref="F2:G2"/>
    <mergeCell ref="H2:I2"/>
  </mergeCells>
  <printOptions horizontalCentered="1"/>
  <pageMargins left="0.78431372549019618" right="0.78431372549019618" top="0.98039215686274517" bottom="0.98039215686274517" header="0.50980392156862753" footer="0.50980392156862753"/>
  <pageSetup paperSize="9" scale="98" orientation="landscape" useFirstPageNumber="1" r:id="rId1"/>
  <headerFooter alignWithMargins="0"/>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S21"/>
  <sheetViews>
    <sheetView workbookViewId="0"/>
  </sheetViews>
  <sheetFormatPr defaultRowHeight="15"/>
  <cols>
    <col min="1" max="1" width="13.140625" style="331" customWidth="1"/>
    <col min="2" max="17" width="8.7109375" style="331" customWidth="1"/>
    <col min="18" max="16384" width="9.140625" style="331"/>
  </cols>
  <sheetData>
    <row r="1" spans="1:19">
      <c r="A1" s="193" t="s">
        <v>9</v>
      </c>
    </row>
    <row r="2" spans="1:19" ht="45" customHeight="1">
      <c r="A2" s="1300" t="s">
        <v>116</v>
      </c>
      <c r="B2" s="1299" t="s">
        <v>904</v>
      </c>
      <c r="C2" s="1299"/>
      <c r="D2" s="1299"/>
      <c r="E2" s="1299"/>
      <c r="F2" s="1301" t="s">
        <v>905</v>
      </c>
      <c r="G2" s="1301"/>
      <c r="H2" s="1301"/>
      <c r="I2" s="1301"/>
      <c r="J2" s="1270" t="s">
        <v>906</v>
      </c>
      <c r="K2" s="1270"/>
      <c r="L2" s="1270" t="s">
        <v>907</v>
      </c>
      <c r="M2" s="1270"/>
      <c r="N2" s="1270"/>
      <c r="O2" s="1270"/>
      <c r="P2" s="1270" t="s">
        <v>908</v>
      </c>
      <c r="Q2" s="1270"/>
    </row>
    <row r="3" spans="1:19">
      <c r="A3" s="1300"/>
      <c r="B3" s="1299" t="s">
        <v>909</v>
      </c>
      <c r="C3" s="1299"/>
      <c r="D3" s="1299" t="s">
        <v>910</v>
      </c>
      <c r="E3" s="1299"/>
      <c r="F3" s="1299" t="s">
        <v>909</v>
      </c>
      <c r="G3" s="1299"/>
      <c r="H3" s="1299" t="s">
        <v>910</v>
      </c>
      <c r="I3" s="1299"/>
      <c r="J3" s="1270"/>
      <c r="K3" s="1270"/>
      <c r="L3" s="1299" t="s">
        <v>909</v>
      </c>
      <c r="M3" s="1299"/>
      <c r="N3" s="1299" t="s">
        <v>910</v>
      </c>
      <c r="O3" s="1299"/>
      <c r="P3" s="1270"/>
      <c r="Q3" s="1270"/>
    </row>
    <row r="4" spans="1:19" ht="45">
      <c r="A4" s="1300"/>
      <c r="B4" s="326" t="s">
        <v>911</v>
      </c>
      <c r="C4" s="326" t="s">
        <v>124</v>
      </c>
      <c r="D4" s="326" t="s">
        <v>911</v>
      </c>
      <c r="E4" s="326" t="s">
        <v>124</v>
      </c>
      <c r="F4" s="326" t="s">
        <v>911</v>
      </c>
      <c r="G4" s="326" t="s">
        <v>124</v>
      </c>
      <c r="H4" s="326" t="s">
        <v>911</v>
      </c>
      <c r="I4" s="326" t="s">
        <v>124</v>
      </c>
      <c r="J4" s="326" t="s">
        <v>911</v>
      </c>
      <c r="K4" s="326" t="s">
        <v>124</v>
      </c>
      <c r="L4" s="326" t="s">
        <v>911</v>
      </c>
      <c r="M4" s="326" t="s">
        <v>124</v>
      </c>
      <c r="N4" s="326" t="s">
        <v>911</v>
      </c>
      <c r="O4" s="326" t="s">
        <v>124</v>
      </c>
      <c r="P4" s="326" t="s">
        <v>911</v>
      </c>
      <c r="Q4" s="326" t="s">
        <v>124</v>
      </c>
    </row>
    <row r="5" spans="1:19">
      <c r="A5" s="582" t="s">
        <v>518</v>
      </c>
      <c r="B5" s="327">
        <v>339906</v>
      </c>
      <c r="C5" s="327">
        <v>140568.51</v>
      </c>
      <c r="D5" s="327">
        <v>22123</v>
      </c>
      <c r="E5" s="327">
        <v>66811.259999999995</v>
      </c>
      <c r="F5" s="327">
        <v>751149</v>
      </c>
      <c r="G5" s="327">
        <v>1078970.79</v>
      </c>
      <c r="H5" s="327">
        <v>10683</v>
      </c>
      <c r="I5" s="327">
        <v>39274.17</v>
      </c>
      <c r="J5" s="327">
        <v>0</v>
      </c>
      <c r="K5" s="327">
        <v>0</v>
      </c>
      <c r="L5" s="327">
        <v>132578</v>
      </c>
      <c r="M5" s="327">
        <v>18900.330000000002</v>
      </c>
      <c r="N5" s="327">
        <v>34998</v>
      </c>
      <c r="O5" s="327">
        <v>28868.97</v>
      </c>
      <c r="P5" s="327">
        <v>1291437</v>
      </c>
      <c r="Q5" s="327">
        <v>1373394.02</v>
      </c>
    </row>
    <row r="6" spans="1:19">
      <c r="A6" s="582" t="s">
        <v>743</v>
      </c>
      <c r="B6" s="587">
        <f>SUM(B7:B18)</f>
        <v>105807</v>
      </c>
      <c r="C6" s="587">
        <f t="shared" ref="C6:Q6" si="0">SUM(C7:C18)</f>
        <v>38701.545304822997</v>
      </c>
      <c r="D6" s="587">
        <f t="shared" si="0"/>
        <v>7992</v>
      </c>
      <c r="E6" s="587">
        <f t="shared" si="0"/>
        <v>23637.758920081997</v>
      </c>
      <c r="F6" s="587">
        <f t="shared" si="0"/>
        <v>243625</v>
      </c>
      <c r="G6" s="587">
        <f t="shared" si="0"/>
        <v>393355.68237135897</v>
      </c>
      <c r="H6" s="587">
        <f t="shared" si="0"/>
        <v>2188</v>
      </c>
      <c r="I6" s="587">
        <f t="shared" si="0"/>
        <v>16584.408257423998</v>
      </c>
      <c r="J6" s="587">
        <f t="shared" si="0"/>
        <v>0</v>
      </c>
      <c r="K6" s="587">
        <f t="shared" si="0"/>
        <v>0</v>
      </c>
      <c r="L6" s="587">
        <f t="shared" si="0"/>
        <v>8453</v>
      </c>
      <c r="M6" s="587">
        <f t="shared" si="0"/>
        <v>3600.8906555474005</v>
      </c>
      <c r="N6" s="587">
        <f t="shared" si="0"/>
        <v>11007</v>
      </c>
      <c r="O6" s="587">
        <f t="shared" si="0"/>
        <v>12092.383297999999</v>
      </c>
      <c r="P6" s="587">
        <f t="shared" si="0"/>
        <v>379072</v>
      </c>
      <c r="Q6" s="587">
        <f t="shared" si="0"/>
        <v>487972.68590723537</v>
      </c>
      <c r="R6" s="21"/>
      <c r="S6" s="21"/>
    </row>
    <row r="7" spans="1:19">
      <c r="A7" s="174">
        <v>45412</v>
      </c>
      <c r="B7" s="327">
        <v>25903</v>
      </c>
      <c r="C7" s="327">
        <v>7415.3069999999998</v>
      </c>
      <c r="D7" s="327">
        <v>1977</v>
      </c>
      <c r="E7" s="327">
        <v>5249.3419999999996</v>
      </c>
      <c r="F7" s="327">
        <v>64127</v>
      </c>
      <c r="G7" s="327">
        <v>78200.87</v>
      </c>
      <c r="H7" s="327">
        <v>610</v>
      </c>
      <c r="I7" s="327">
        <v>4241.9880000000003</v>
      </c>
      <c r="J7" s="327">
        <v>0</v>
      </c>
      <c r="K7" s="327">
        <v>0</v>
      </c>
      <c r="L7" s="327">
        <v>2555</v>
      </c>
      <c r="M7" s="327">
        <v>1011.408</v>
      </c>
      <c r="N7" s="327">
        <v>2836</v>
      </c>
      <c r="O7" s="327">
        <v>2708.5230000000001</v>
      </c>
      <c r="P7" s="327">
        <v>98008</v>
      </c>
      <c r="Q7" s="327">
        <v>98827.44</v>
      </c>
      <c r="R7" s="21"/>
      <c r="S7" s="21"/>
    </row>
    <row r="8" spans="1:19">
      <c r="A8" s="174">
        <v>45443</v>
      </c>
      <c r="B8" s="327">
        <v>27094</v>
      </c>
      <c r="C8" s="327">
        <v>10486.48</v>
      </c>
      <c r="D8" s="327">
        <v>2124</v>
      </c>
      <c r="E8" s="327">
        <v>5852.2659999999996</v>
      </c>
      <c r="F8" s="327">
        <v>61350</v>
      </c>
      <c r="G8" s="327">
        <v>101645.8</v>
      </c>
      <c r="H8" s="327">
        <v>582</v>
      </c>
      <c r="I8" s="327">
        <v>6548.7650000000003</v>
      </c>
      <c r="J8" s="327">
        <v>0</v>
      </c>
      <c r="K8" s="327">
        <v>0</v>
      </c>
      <c r="L8" s="327">
        <v>2280</v>
      </c>
      <c r="M8" s="327">
        <v>915.93489999999997</v>
      </c>
      <c r="N8" s="327">
        <v>2479</v>
      </c>
      <c r="O8" s="327">
        <v>4802.7709999999997</v>
      </c>
      <c r="P8" s="327">
        <v>95909</v>
      </c>
      <c r="Q8" s="327">
        <v>130252</v>
      </c>
      <c r="R8" s="21"/>
      <c r="S8" s="21"/>
    </row>
    <row r="9" spans="1:19">
      <c r="A9" s="174">
        <v>45473</v>
      </c>
      <c r="B9" s="327">
        <v>24202</v>
      </c>
      <c r="C9" s="327">
        <v>11080.92</v>
      </c>
      <c r="D9" s="327">
        <v>1708</v>
      </c>
      <c r="E9" s="327">
        <v>5762.8289999999997</v>
      </c>
      <c r="F9" s="327">
        <v>54517</v>
      </c>
      <c r="G9" s="327">
        <v>95480.17</v>
      </c>
      <c r="H9" s="327">
        <v>474</v>
      </c>
      <c r="I9" s="327">
        <v>3057.8670000000002</v>
      </c>
      <c r="J9" s="327">
        <v>0</v>
      </c>
      <c r="K9" s="327">
        <v>0</v>
      </c>
      <c r="L9" s="327">
        <v>1669</v>
      </c>
      <c r="M9" s="327">
        <v>733.38300000000004</v>
      </c>
      <c r="N9" s="327">
        <v>2562</v>
      </c>
      <c r="O9" s="327">
        <v>2355.4989999999998</v>
      </c>
      <c r="P9" s="327">
        <v>85132</v>
      </c>
      <c r="Q9" s="327">
        <v>118470.7</v>
      </c>
      <c r="R9" s="21"/>
      <c r="S9" s="21"/>
    </row>
    <row r="10" spans="1:19">
      <c r="A10" s="174">
        <v>45504</v>
      </c>
      <c r="B10" s="327">
        <v>28608</v>
      </c>
      <c r="C10" s="327">
        <v>9718.8383048229989</v>
      </c>
      <c r="D10" s="327">
        <v>2183</v>
      </c>
      <c r="E10" s="327">
        <v>6773.3219200819995</v>
      </c>
      <c r="F10" s="327">
        <v>63631</v>
      </c>
      <c r="G10" s="327">
        <v>118028.842371359</v>
      </c>
      <c r="H10" s="327">
        <v>522</v>
      </c>
      <c r="I10" s="327">
        <v>2735.7882574239989</v>
      </c>
      <c r="J10" s="327">
        <v>0</v>
      </c>
      <c r="K10" s="327">
        <v>0</v>
      </c>
      <c r="L10" s="327">
        <v>1949</v>
      </c>
      <c r="M10" s="327">
        <v>940.16475554740009</v>
      </c>
      <c r="N10" s="327">
        <v>3130</v>
      </c>
      <c r="O10" s="327">
        <v>2225.5902979999992</v>
      </c>
      <c r="P10" s="327">
        <v>100023</v>
      </c>
      <c r="Q10" s="327">
        <v>140422.54590723538</v>
      </c>
      <c r="R10" s="21"/>
      <c r="S10" s="21"/>
    </row>
    <row r="11" spans="1:19">
      <c r="A11" s="174">
        <v>45535</v>
      </c>
      <c r="B11" s="327"/>
      <c r="C11" s="327"/>
      <c r="D11" s="327"/>
      <c r="E11" s="327"/>
      <c r="F11" s="327"/>
      <c r="G11" s="327"/>
      <c r="H11" s="327"/>
      <c r="I11" s="327"/>
      <c r="J11" s="327"/>
      <c r="K11" s="327"/>
      <c r="L11" s="327"/>
      <c r="M11" s="327"/>
      <c r="N11" s="327"/>
      <c r="O11" s="327"/>
      <c r="P11" s="327"/>
      <c r="Q11" s="327"/>
    </row>
    <row r="12" spans="1:19">
      <c r="A12" s="174">
        <v>45565</v>
      </c>
      <c r="B12" s="327"/>
      <c r="C12" s="327"/>
      <c r="D12" s="327"/>
      <c r="E12" s="327"/>
      <c r="F12" s="327"/>
      <c r="G12" s="327"/>
      <c r="H12" s="327"/>
      <c r="I12" s="327"/>
      <c r="J12" s="327"/>
      <c r="K12" s="327"/>
      <c r="L12" s="327"/>
      <c r="M12" s="327"/>
      <c r="N12" s="327"/>
      <c r="O12" s="327"/>
      <c r="P12" s="327"/>
      <c r="Q12" s="327"/>
    </row>
    <row r="13" spans="1:19">
      <c r="A13" s="174">
        <v>45596</v>
      </c>
      <c r="B13" s="327"/>
      <c r="C13" s="327"/>
      <c r="D13" s="327"/>
      <c r="E13" s="327"/>
      <c r="F13" s="327"/>
      <c r="G13" s="327"/>
      <c r="H13" s="327"/>
      <c r="I13" s="327"/>
      <c r="J13" s="327"/>
      <c r="K13" s="327"/>
      <c r="L13" s="327"/>
      <c r="M13" s="327"/>
      <c r="N13" s="327"/>
      <c r="O13" s="327"/>
      <c r="P13" s="327"/>
      <c r="Q13" s="327"/>
    </row>
    <row r="14" spans="1:19">
      <c r="A14" s="174">
        <v>45626</v>
      </c>
      <c r="B14" s="327"/>
      <c r="C14" s="327"/>
      <c r="D14" s="327"/>
      <c r="E14" s="327"/>
      <c r="F14" s="327"/>
      <c r="G14" s="327"/>
      <c r="H14" s="327"/>
      <c r="I14" s="327"/>
      <c r="J14" s="327"/>
      <c r="K14" s="327"/>
      <c r="L14" s="327"/>
      <c r="M14" s="327"/>
      <c r="N14" s="327"/>
      <c r="O14" s="327"/>
      <c r="P14" s="327"/>
      <c r="Q14" s="327"/>
    </row>
    <row r="15" spans="1:19">
      <c r="A15" s="174">
        <v>45657</v>
      </c>
      <c r="B15" s="327"/>
      <c r="C15" s="327"/>
      <c r="D15" s="327"/>
      <c r="E15" s="327"/>
      <c r="F15" s="327"/>
      <c r="G15" s="327"/>
      <c r="H15" s="327"/>
      <c r="I15" s="327"/>
      <c r="J15" s="327"/>
      <c r="K15" s="327"/>
      <c r="L15" s="327"/>
      <c r="M15" s="327"/>
      <c r="N15" s="327"/>
      <c r="O15" s="327"/>
      <c r="P15" s="327"/>
      <c r="Q15" s="327"/>
    </row>
    <row r="16" spans="1:19">
      <c r="A16" s="174">
        <v>45688</v>
      </c>
      <c r="B16" s="327"/>
      <c r="C16" s="327"/>
      <c r="D16" s="327"/>
      <c r="E16" s="327"/>
      <c r="F16" s="327"/>
      <c r="G16" s="327"/>
      <c r="H16" s="327"/>
      <c r="I16" s="327"/>
      <c r="J16" s="327"/>
      <c r="K16" s="327"/>
      <c r="L16" s="327"/>
      <c r="M16" s="327"/>
      <c r="N16" s="327"/>
      <c r="O16" s="327"/>
      <c r="P16" s="327"/>
      <c r="Q16" s="327"/>
    </row>
    <row r="17" spans="1:17">
      <c r="A17" s="174">
        <v>45716</v>
      </c>
      <c r="B17" s="327"/>
      <c r="C17" s="327"/>
      <c r="D17" s="327"/>
      <c r="E17" s="327"/>
      <c r="F17" s="327"/>
      <c r="G17" s="327"/>
      <c r="H17" s="327"/>
      <c r="I17" s="327"/>
      <c r="J17" s="327"/>
      <c r="K17" s="327"/>
      <c r="L17" s="327"/>
      <c r="M17" s="327"/>
      <c r="N17" s="327"/>
      <c r="O17" s="327"/>
      <c r="P17" s="327"/>
      <c r="Q17" s="327"/>
    </row>
    <row r="18" spans="1:17">
      <c r="A18" s="174">
        <v>45747</v>
      </c>
      <c r="B18" s="212"/>
      <c r="C18" s="212"/>
      <c r="D18" s="212"/>
      <c r="E18" s="212"/>
      <c r="F18" s="212"/>
      <c r="G18" s="212"/>
      <c r="H18" s="212"/>
      <c r="I18" s="212"/>
      <c r="J18" s="212"/>
      <c r="K18" s="212"/>
      <c r="L18" s="212"/>
      <c r="M18" s="212"/>
      <c r="N18" s="212"/>
      <c r="O18" s="212"/>
      <c r="P18" s="212"/>
      <c r="Q18" s="212"/>
    </row>
    <row r="19" spans="1:17">
      <c r="A19" s="743" t="str">
        <f>"$ indicates as on "&amp;TEXT(IF(COUNT(B7:B18)=1,A7,IF(COUNT(B7:B18)=2,A8,IF(COUNT(B7:B18)=3,A9,IF(COUNT(B7:B18)=4,A10,IF(COUNT(B7:B18)=5,A11,IF(COUNT(B7:B18)=6,A12,IF(COUNT(B7:B18)=7,A13,IF(COUNT(B7:B18)=8,A14,IF(COUNT(B7:B18)=9,A15,IF(COUNT(B7:B18)=10,A16,IF(COUNT(B7:B18)=11,A17,A18))))))))))),"mmmm dd, yyyy")</f>
        <v>$ indicates as on July 31, 2024</v>
      </c>
    </row>
    <row r="20" spans="1:17" s="330" customFormat="1">
      <c r="A20" s="148" t="s">
        <v>912</v>
      </c>
      <c r="B20" s="148"/>
      <c r="C20" s="561"/>
      <c r="D20" s="561"/>
      <c r="E20" s="561"/>
    </row>
    <row r="21" spans="1:17" s="330" customFormat="1">
      <c r="B21" s="106"/>
      <c r="C21" s="106"/>
      <c r="D21" s="106"/>
      <c r="E21" s="106"/>
      <c r="F21" s="106"/>
      <c r="G21" s="106"/>
      <c r="H21" s="106"/>
      <c r="I21" s="106"/>
      <c r="J21" s="106"/>
    </row>
  </sheetData>
  <mergeCells count="12">
    <mergeCell ref="A2:A4"/>
    <mergeCell ref="B2:E2"/>
    <mergeCell ref="F2:I2"/>
    <mergeCell ref="J2:K3"/>
    <mergeCell ref="L2:O2"/>
    <mergeCell ref="P2:Q3"/>
    <mergeCell ref="B3:C3"/>
    <mergeCell ref="D3:E3"/>
    <mergeCell ref="F3:G3"/>
    <mergeCell ref="H3:I3"/>
    <mergeCell ref="L3:M3"/>
    <mergeCell ref="N3:O3"/>
  </mergeCells>
  <pageMargins left="0.7" right="0.7" top="0.75" bottom="0.75" header="0.3" footer="0.3"/>
  <pageSetup paperSize="9" scale="85" orientation="landscape"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pageSetUpPr fitToPage="1"/>
  </sheetPr>
  <dimension ref="A1:Z23"/>
  <sheetViews>
    <sheetView workbookViewId="0">
      <selection sqref="A1:M1"/>
    </sheetView>
  </sheetViews>
  <sheetFormatPr defaultColWidth="9.140625" defaultRowHeight="15"/>
  <cols>
    <col min="1" max="1" width="10.5703125" style="92" bestFit="1" customWidth="1"/>
    <col min="2" max="13" width="14.5703125" style="92" bestFit="1" customWidth="1"/>
    <col min="14" max="14" width="5.42578125" style="92" bestFit="1" customWidth="1"/>
    <col min="15" max="16384" width="9.140625" style="92"/>
  </cols>
  <sheetData>
    <row r="1" spans="1:26" ht="16.5" customHeight="1">
      <c r="A1" s="1302" t="s">
        <v>174</v>
      </c>
      <c r="B1" s="1302"/>
      <c r="C1" s="1302"/>
      <c r="D1" s="1302"/>
      <c r="E1" s="1302"/>
      <c r="F1" s="1302"/>
      <c r="G1" s="1302"/>
      <c r="H1" s="1302"/>
      <c r="I1" s="1302"/>
      <c r="J1" s="1302"/>
      <c r="K1" s="1302"/>
      <c r="L1" s="1302"/>
      <c r="M1" s="1302"/>
    </row>
    <row r="2" spans="1:26" s="93" customFormat="1" ht="18" customHeight="1">
      <c r="A2" s="1295" t="s">
        <v>175</v>
      </c>
      <c r="B2" s="1297" t="s">
        <v>176</v>
      </c>
      <c r="C2" s="1303"/>
      <c r="D2" s="1303"/>
      <c r="E2" s="1303"/>
      <c r="F2" s="1303"/>
      <c r="G2" s="1303"/>
      <c r="H2" s="1303"/>
      <c r="I2" s="1298"/>
      <c r="J2" s="1304" t="s">
        <v>177</v>
      </c>
      <c r="K2" s="1305"/>
      <c r="L2" s="1304" t="s">
        <v>96</v>
      </c>
      <c r="M2" s="1305"/>
    </row>
    <row r="3" spans="1:26" s="93" customFormat="1" ht="18" customHeight="1">
      <c r="A3" s="1296"/>
      <c r="B3" s="1297" t="s">
        <v>178</v>
      </c>
      <c r="C3" s="1298"/>
      <c r="D3" s="1297" t="s">
        <v>179</v>
      </c>
      <c r="E3" s="1298"/>
      <c r="F3" s="1297" t="s">
        <v>180</v>
      </c>
      <c r="G3" s="1298"/>
      <c r="H3" s="1297" t="s">
        <v>181</v>
      </c>
      <c r="I3" s="1298"/>
      <c r="J3" s="1306"/>
      <c r="K3" s="1307"/>
      <c r="L3" s="1306"/>
      <c r="M3" s="1307"/>
    </row>
    <row r="4" spans="1:26" s="93" customFormat="1" ht="27" customHeight="1">
      <c r="A4" s="95" t="s">
        <v>182</v>
      </c>
      <c r="B4" s="94" t="s">
        <v>141</v>
      </c>
      <c r="C4" s="94" t="s">
        <v>1411</v>
      </c>
      <c r="D4" s="94" t="s">
        <v>141</v>
      </c>
      <c r="E4" s="94" t="s">
        <v>1411</v>
      </c>
      <c r="F4" s="94" t="s">
        <v>141</v>
      </c>
      <c r="G4" s="94" t="s">
        <v>1411</v>
      </c>
      <c r="H4" s="94" t="s">
        <v>141</v>
      </c>
      <c r="I4" s="94" t="s">
        <v>1411</v>
      </c>
      <c r="J4" s="94" t="s">
        <v>141</v>
      </c>
      <c r="K4" s="94" t="s">
        <v>1411</v>
      </c>
      <c r="L4" s="94" t="s">
        <v>141</v>
      </c>
      <c r="M4" s="94" t="s">
        <v>1411</v>
      </c>
    </row>
    <row r="5" spans="1:26" s="97" customFormat="1" ht="18" customHeight="1">
      <c r="A5" s="95" t="s">
        <v>71</v>
      </c>
      <c r="B5" s="96">
        <v>266</v>
      </c>
      <c r="C5" s="108">
        <v>2019875.8160000001</v>
      </c>
      <c r="D5" s="96">
        <v>409</v>
      </c>
      <c r="E5" s="108">
        <v>372534.52</v>
      </c>
      <c r="F5" s="96">
        <v>372</v>
      </c>
      <c r="G5" s="96">
        <v>61654.900000000009</v>
      </c>
      <c r="H5" s="96">
        <v>200</v>
      </c>
      <c r="I5" s="96">
        <v>18194.870000000003</v>
      </c>
      <c r="J5" s="96">
        <v>72</v>
      </c>
      <c r="K5" s="96">
        <v>17535.12</v>
      </c>
      <c r="L5" s="109">
        <v>1319</v>
      </c>
      <c r="M5" s="108">
        <v>2489794.716</v>
      </c>
    </row>
    <row r="6" spans="1:26" s="113" customFormat="1" ht="18" customHeight="1">
      <c r="A6" s="110" t="s">
        <v>72</v>
      </c>
      <c r="B6" s="111">
        <f>SUM(B7:B10)</f>
        <v>127</v>
      </c>
      <c r="C6" s="111">
        <f t="shared" ref="C6:M6" si="0">SUM(C7:C10)</f>
        <v>1269289.92</v>
      </c>
      <c r="D6" s="111">
        <f t="shared" si="0"/>
        <v>165</v>
      </c>
      <c r="E6" s="111">
        <f t="shared" si="0"/>
        <v>153963.38</v>
      </c>
      <c r="F6" s="111">
        <f t="shared" si="0"/>
        <v>129</v>
      </c>
      <c r="G6" s="111">
        <f t="shared" si="0"/>
        <v>20557.36</v>
      </c>
      <c r="H6" s="111">
        <f t="shared" si="0"/>
        <v>62</v>
      </c>
      <c r="I6" s="111">
        <f t="shared" si="0"/>
        <v>20601.649999999998</v>
      </c>
      <c r="J6" s="111">
        <f t="shared" si="0"/>
        <v>19</v>
      </c>
      <c r="K6" s="111">
        <f t="shared" si="0"/>
        <v>5873</v>
      </c>
      <c r="L6" s="111">
        <f t="shared" si="0"/>
        <v>502</v>
      </c>
      <c r="M6" s="111">
        <f t="shared" si="0"/>
        <v>1470285.31</v>
      </c>
      <c r="N6" s="112"/>
      <c r="O6" s="112"/>
      <c r="P6" s="112"/>
      <c r="Q6" s="112"/>
      <c r="R6" s="112"/>
      <c r="S6" s="112"/>
      <c r="T6" s="112"/>
      <c r="U6" s="112"/>
      <c r="V6" s="112"/>
      <c r="W6" s="112"/>
      <c r="X6" s="112"/>
      <c r="Y6" s="112"/>
      <c r="Z6" s="112"/>
    </row>
    <row r="7" spans="1:26" s="93" customFormat="1" ht="18" customHeight="1">
      <c r="A7" s="99" t="s">
        <v>125</v>
      </c>
      <c r="B7" s="101">
        <v>16</v>
      </c>
      <c r="C7" s="102">
        <v>96343.84</v>
      </c>
      <c r="D7" s="101">
        <v>21</v>
      </c>
      <c r="E7" s="101">
        <v>8364.25</v>
      </c>
      <c r="F7" s="101">
        <v>25</v>
      </c>
      <c r="G7" s="101">
        <v>920.49</v>
      </c>
      <c r="H7" s="101">
        <v>10</v>
      </c>
      <c r="I7" s="101">
        <v>1702.58</v>
      </c>
      <c r="J7" s="101">
        <v>3</v>
      </c>
      <c r="K7" s="101">
        <v>554</v>
      </c>
      <c r="L7" s="101">
        <v>75</v>
      </c>
      <c r="M7" s="102">
        <v>107885.16</v>
      </c>
      <c r="N7" s="104"/>
      <c r="O7" s="104"/>
    </row>
    <row r="8" spans="1:26" s="93" customFormat="1" ht="18" customHeight="1">
      <c r="A8" s="99" t="s">
        <v>126</v>
      </c>
      <c r="B8" s="101">
        <v>29</v>
      </c>
      <c r="C8" s="102">
        <v>188112.1</v>
      </c>
      <c r="D8" s="101">
        <v>44</v>
      </c>
      <c r="E8" s="101">
        <v>27924.79</v>
      </c>
      <c r="F8" s="101">
        <v>20</v>
      </c>
      <c r="G8" s="101">
        <v>2802.42</v>
      </c>
      <c r="H8" s="101">
        <v>24</v>
      </c>
      <c r="I8" s="101">
        <v>1864.4499999999998</v>
      </c>
      <c r="J8" s="101">
        <v>10</v>
      </c>
      <c r="K8" s="101">
        <v>4900</v>
      </c>
      <c r="L8" s="101">
        <v>127</v>
      </c>
      <c r="M8" s="102">
        <v>225603.76</v>
      </c>
      <c r="N8" s="104"/>
      <c r="O8" s="104"/>
    </row>
    <row r="9" spans="1:26" s="93" customFormat="1" ht="18" customHeight="1">
      <c r="A9" s="99" t="s">
        <v>183</v>
      </c>
      <c r="B9" s="102">
        <v>40</v>
      </c>
      <c r="C9" s="102">
        <v>292428.78000000003</v>
      </c>
      <c r="D9" s="102">
        <v>64</v>
      </c>
      <c r="E9" s="102">
        <v>71403.790000000008</v>
      </c>
      <c r="F9" s="102">
        <v>50</v>
      </c>
      <c r="G9" s="102">
        <v>9645.9500000000007</v>
      </c>
      <c r="H9" s="102">
        <v>19</v>
      </c>
      <c r="I9" s="102">
        <v>16207.8</v>
      </c>
      <c r="J9" s="102">
        <v>2</v>
      </c>
      <c r="K9" s="102">
        <v>275</v>
      </c>
      <c r="L9" s="102">
        <v>175</v>
      </c>
      <c r="M9" s="102">
        <v>389961.32</v>
      </c>
      <c r="N9" s="104"/>
      <c r="O9" s="104"/>
    </row>
    <row r="10" spans="1:26" s="93" customFormat="1" ht="18" customHeight="1">
      <c r="A10" s="99" t="s">
        <v>184</v>
      </c>
      <c r="B10" s="102">
        <v>42</v>
      </c>
      <c r="C10" s="102">
        <v>692405.2</v>
      </c>
      <c r="D10" s="102">
        <v>36</v>
      </c>
      <c r="E10" s="102">
        <v>46270.55</v>
      </c>
      <c r="F10" s="102">
        <v>34</v>
      </c>
      <c r="G10" s="102">
        <v>7188.5</v>
      </c>
      <c r="H10" s="102">
        <v>9</v>
      </c>
      <c r="I10" s="102">
        <v>826.81999999999994</v>
      </c>
      <c r="J10" s="102">
        <v>4</v>
      </c>
      <c r="K10" s="102">
        <v>144</v>
      </c>
      <c r="L10" s="102">
        <v>125</v>
      </c>
      <c r="M10" s="102">
        <v>746835.07</v>
      </c>
      <c r="N10" s="104"/>
      <c r="O10" s="104"/>
    </row>
    <row r="11" spans="1:26" s="93" customFormat="1" ht="15" customHeight="1">
      <c r="A11" s="1293" t="s">
        <v>129</v>
      </c>
      <c r="B11" s="1293"/>
      <c r="C11" s="1293"/>
      <c r="D11" s="1293"/>
      <c r="E11" s="1293"/>
      <c r="F11" s="1293"/>
      <c r="G11" s="1293"/>
      <c r="H11" s="1293"/>
      <c r="I11" s="1293"/>
      <c r="J11" s="1293"/>
      <c r="K11" s="1293"/>
    </row>
    <row r="12" spans="1:26" s="93" customFormat="1" ht="15" customHeight="1">
      <c r="A12" s="114" t="s">
        <v>185</v>
      </c>
      <c r="B12" s="114"/>
      <c r="C12" s="114"/>
      <c r="D12" s="114"/>
      <c r="E12" s="114"/>
      <c r="F12" s="114"/>
      <c r="G12" s="114"/>
      <c r="H12" s="114"/>
      <c r="I12" s="114"/>
      <c r="J12" s="114"/>
      <c r="K12" s="114"/>
    </row>
    <row r="13" spans="1:26" s="93" customFormat="1" ht="15" customHeight="1">
      <c r="A13" s="424" t="s">
        <v>186</v>
      </c>
      <c r="B13" s="424"/>
      <c r="C13" s="424"/>
      <c r="D13" s="424"/>
      <c r="E13" s="424"/>
      <c r="F13" s="424"/>
    </row>
    <row r="14" spans="1:26" ht="15" customHeight="1">
      <c r="A14" s="439" t="s">
        <v>838</v>
      </c>
      <c r="B14" s="424"/>
      <c r="C14" s="424"/>
      <c r="D14" s="424"/>
      <c r="E14" s="424"/>
      <c r="F14" s="424"/>
      <c r="G14" s="105"/>
      <c r="H14" s="105"/>
      <c r="I14" s="105"/>
      <c r="J14" s="105"/>
      <c r="K14" s="105"/>
      <c r="L14" s="105"/>
      <c r="M14" s="105"/>
    </row>
    <row r="15" spans="1:26" ht="15" customHeight="1">
      <c r="L15" s="105"/>
      <c r="M15" s="105"/>
    </row>
    <row r="16" spans="1:26" ht="15" customHeight="1"/>
    <row r="23" spans="3:13">
      <c r="C23" s="115"/>
      <c r="D23" s="115"/>
      <c r="E23" s="115"/>
      <c r="F23" s="115"/>
      <c r="G23" s="115"/>
      <c r="H23" s="115"/>
      <c r="I23" s="115"/>
      <c r="J23" s="115"/>
      <c r="K23" s="115"/>
      <c r="L23" s="115"/>
      <c r="M23" s="115"/>
    </row>
  </sheetData>
  <mergeCells count="10">
    <mergeCell ref="A11:K11"/>
    <mergeCell ref="A1:M1"/>
    <mergeCell ref="A2:A3"/>
    <mergeCell ref="B2:I2"/>
    <mergeCell ref="J2:K3"/>
    <mergeCell ref="L2:M3"/>
    <mergeCell ref="B3:C3"/>
    <mergeCell ref="D3:E3"/>
    <mergeCell ref="F3:G3"/>
    <mergeCell ref="H3:I3"/>
  </mergeCells>
  <printOptions horizontalCentered="1"/>
  <pageMargins left="0.78431372549019618" right="0.78431372549019618" top="0.98039215686274517" bottom="0.98039215686274517" header="0.50980392156862753" footer="0.50980392156862753"/>
  <pageSetup paperSize="9" scale="69" orientation="landscape" useFirstPageNumber="1" r:id="rId1"/>
  <headerFooter alignWithMargins="0"/>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
    <pageSetUpPr fitToPage="1"/>
  </sheetPr>
  <dimension ref="A1:U14"/>
  <sheetViews>
    <sheetView workbookViewId="0">
      <selection sqref="A1:K1"/>
    </sheetView>
  </sheetViews>
  <sheetFormatPr defaultColWidth="9.140625" defaultRowHeight="15"/>
  <cols>
    <col min="1" max="11" width="14.5703125" style="92" bestFit="1" customWidth="1"/>
    <col min="12" max="12" width="5.42578125" style="92" bestFit="1" customWidth="1"/>
    <col min="13" max="16384" width="9.140625" style="92"/>
  </cols>
  <sheetData>
    <row r="1" spans="1:21" ht="19.5" customHeight="1">
      <c r="A1" s="1302" t="s">
        <v>187</v>
      </c>
      <c r="B1" s="1302"/>
      <c r="C1" s="1302"/>
      <c r="D1" s="1302"/>
      <c r="E1" s="1302"/>
      <c r="F1" s="1302"/>
      <c r="G1" s="1302"/>
      <c r="H1" s="1302"/>
      <c r="I1" s="1302"/>
      <c r="J1" s="1302"/>
      <c r="K1" s="1302"/>
    </row>
    <row r="2" spans="1:21" s="93" customFormat="1" ht="18" customHeight="1">
      <c r="A2" s="116" t="s">
        <v>175</v>
      </c>
      <c r="B2" s="1309" t="s">
        <v>188</v>
      </c>
      <c r="C2" s="1310"/>
      <c r="D2" s="1309" t="s">
        <v>189</v>
      </c>
      <c r="E2" s="1310"/>
      <c r="F2" s="1309" t="s">
        <v>190</v>
      </c>
      <c r="G2" s="1310"/>
      <c r="H2" s="1297" t="s">
        <v>191</v>
      </c>
      <c r="I2" s="1298"/>
      <c r="J2" s="1309" t="s">
        <v>192</v>
      </c>
      <c r="K2" s="1310"/>
    </row>
    <row r="3" spans="1:21" s="93" customFormat="1" ht="27" customHeight="1">
      <c r="A3" s="95" t="s">
        <v>182</v>
      </c>
      <c r="B3" s="94" t="s">
        <v>141</v>
      </c>
      <c r="C3" s="94" t="s">
        <v>1411</v>
      </c>
      <c r="D3" s="94" t="s">
        <v>141</v>
      </c>
      <c r="E3" s="94" t="s">
        <v>1411</v>
      </c>
      <c r="F3" s="94" t="s">
        <v>141</v>
      </c>
      <c r="G3" s="94" t="s">
        <v>1411</v>
      </c>
      <c r="H3" s="94" t="s">
        <v>141</v>
      </c>
      <c r="I3" s="94" t="s">
        <v>1411</v>
      </c>
      <c r="J3" s="94" t="s">
        <v>141</v>
      </c>
      <c r="K3" s="94" t="s">
        <v>1411</v>
      </c>
    </row>
    <row r="4" spans="1:21" s="97" customFormat="1" ht="18" customHeight="1">
      <c r="A4" s="95" t="s">
        <v>71</v>
      </c>
      <c r="B4" s="96">
        <v>460</v>
      </c>
      <c r="C4" s="108">
        <v>269687.23</v>
      </c>
      <c r="D4" s="117">
        <v>251</v>
      </c>
      <c r="E4" s="109">
        <v>107880.65</v>
      </c>
      <c r="F4" s="96">
        <v>7153</v>
      </c>
      <c r="G4" s="118">
        <v>18110492.603</v>
      </c>
      <c r="H4" s="96">
        <v>135</v>
      </c>
      <c r="I4" s="109">
        <v>34838.31</v>
      </c>
      <c r="J4" s="96">
        <v>1041</v>
      </c>
      <c r="K4" s="108">
        <v>454662.93260000006</v>
      </c>
    </row>
    <row r="5" spans="1:21" s="97" customFormat="1" ht="18" customHeight="1">
      <c r="A5" s="110" t="s">
        <v>72</v>
      </c>
      <c r="B5" s="111">
        <f>SUM(B6:B9)</f>
        <v>266</v>
      </c>
      <c r="C5" s="111">
        <f t="shared" ref="C5:J5" si="0">SUM(C6:C9)</f>
        <v>120177.50999999998</v>
      </c>
      <c r="D5" s="111">
        <f t="shared" si="0"/>
        <v>70</v>
      </c>
      <c r="E5" s="111">
        <f t="shared" si="0"/>
        <v>24472.11</v>
      </c>
      <c r="F5" s="111">
        <f t="shared" si="0"/>
        <v>2671</v>
      </c>
      <c r="G5" s="111">
        <f t="shared" si="0"/>
        <v>8792511.5950000007</v>
      </c>
      <c r="H5" s="111">
        <f t="shared" si="0"/>
        <v>58</v>
      </c>
      <c r="I5" s="111">
        <f t="shared" si="0"/>
        <v>18517.46</v>
      </c>
      <c r="J5" s="111">
        <f t="shared" si="0"/>
        <v>465</v>
      </c>
      <c r="K5" s="111">
        <v>846860.17500000005</v>
      </c>
      <c r="L5" s="98"/>
      <c r="M5" s="98"/>
      <c r="N5" s="98"/>
      <c r="O5" s="98"/>
      <c r="P5" s="98"/>
      <c r="Q5" s="98"/>
      <c r="R5" s="98"/>
      <c r="S5" s="98"/>
      <c r="T5" s="98"/>
      <c r="U5" s="98"/>
    </row>
    <row r="6" spans="1:21" s="93" customFormat="1" ht="18" customHeight="1">
      <c r="A6" s="99" t="s">
        <v>125</v>
      </c>
      <c r="B6" s="119">
        <v>17</v>
      </c>
      <c r="C6" s="119">
        <v>6525.88</v>
      </c>
      <c r="D6" s="120">
        <v>16</v>
      </c>
      <c r="E6" s="119">
        <v>4839.68</v>
      </c>
      <c r="F6" s="119">
        <v>563</v>
      </c>
      <c r="G6" s="121">
        <v>1938191.2200000002</v>
      </c>
      <c r="H6" s="119">
        <v>36</v>
      </c>
      <c r="I6" s="119">
        <v>13100</v>
      </c>
      <c r="J6" s="119">
        <v>77</v>
      </c>
      <c r="K6" s="102">
        <v>48942.77</v>
      </c>
    </row>
    <row r="7" spans="1:21" s="93" customFormat="1" ht="18" customHeight="1">
      <c r="A7" s="99" t="s">
        <v>126</v>
      </c>
      <c r="B7" s="119">
        <v>101</v>
      </c>
      <c r="C7" s="119">
        <v>67452.919999999984</v>
      </c>
      <c r="D7" s="120">
        <v>21</v>
      </c>
      <c r="E7" s="119">
        <v>8500.23</v>
      </c>
      <c r="F7" s="119">
        <v>584</v>
      </c>
      <c r="G7" s="121">
        <v>2215716.111</v>
      </c>
      <c r="H7" s="119">
        <v>12</v>
      </c>
      <c r="I7" s="119">
        <v>2298</v>
      </c>
      <c r="J7" s="119">
        <v>96</v>
      </c>
      <c r="K7" s="102">
        <v>41223.199999999997</v>
      </c>
    </row>
    <row r="8" spans="1:21" s="93" customFormat="1" ht="18" customHeight="1">
      <c r="A8" s="99" t="s">
        <v>183</v>
      </c>
      <c r="B8" s="122">
        <v>113</v>
      </c>
      <c r="C8" s="122">
        <v>30889.09</v>
      </c>
      <c r="D8" s="123">
        <v>12</v>
      </c>
      <c r="E8" s="122">
        <v>3333</v>
      </c>
      <c r="F8" s="122">
        <v>878</v>
      </c>
      <c r="G8" s="124">
        <v>2381727.5290000001</v>
      </c>
      <c r="H8" s="122">
        <v>3</v>
      </c>
      <c r="I8" s="122">
        <v>850</v>
      </c>
      <c r="J8" s="122">
        <v>150</v>
      </c>
      <c r="K8" s="102">
        <v>65287.715000000004</v>
      </c>
    </row>
    <row r="9" spans="1:21" s="93" customFormat="1" ht="18" customHeight="1">
      <c r="A9" s="99" t="s">
        <v>184</v>
      </c>
      <c r="B9" s="122">
        <v>35</v>
      </c>
      <c r="C9" s="122">
        <v>15309.619999999999</v>
      </c>
      <c r="D9" s="123">
        <v>21</v>
      </c>
      <c r="E9" s="122">
        <v>7799.2</v>
      </c>
      <c r="F9" s="122">
        <v>646</v>
      </c>
      <c r="G9" s="124">
        <v>2256876.7349999999</v>
      </c>
      <c r="H9" s="122">
        <v>7</v>
      </c>
      <c r="I9" s="122">
        <v>2269.46</v>
      </c>
      <c r="J9" s="122">
        <v>142</v>
      </c>
      <c r="K9" s="102" t="s">
        <v>672</v>
      </c>
    </row>
    <row r="10" spans="1:21" s="93" customFormat="1" ht="18" customHeight="1">
      <c r="A10" s="1293" t="s">
        <v>193</v>
      </c>
      <c r="B10" s="1293"/>
      <c r="C10" s="1293"/>
      <c r="D10" s="1293"/>
      <c r="E10" s="1293"/>
      <c r="F10" s="1293"/>
      <c r="G10" s="1293"/>
      <c r="H10" s="1293"/>
      <c r="I10" s="1293"/>
      <c r="J10" s="1293"/>
      <c r="K10" s="1293"/>
    </row>
    <row r="11" spans="1:21" s="93" customFormat="1" ht="18" customHeight="1">
      <c r="A11" s="114" t="s">
        <v>185</v>
      </c>
      <c r="B11" s="114"/>
      <c r="C11" s="114"/>
      <c r="D11" s="114"/>
      <c r="E11" s="114"/>
      <c r="F11" s="114"/>
      <c r="G11" s="114"/>
      <c r="H11" s="114"/>
      <c r="I11" s="114"/>
      <c r="J11" s="114"/>
      <c r="K11" s="114"/>
    </row>
    <row r="12" spans="1:21" s="93" customFormat="1" ht="27.75" customHeight="1">
      <c r="A12" s="1311" t="s">
        <v>673</v>
      </c>
      <c r="B12" s="1311"/>
      <c r="C12" s="1311"/>
      <c r="D12" s="1311"/>
      <c r="E12" s="1311"/>
      <c r="F12" s="1311"/>
      <c r="G12" s="1311"/>
      <c r="H12" s="1311"/>
      <c r="I12" s="1311"/>
      <c r="J12" s="1311"/>
      <c r="K12" s="1311"/>
    </row>
    <row r="13" spans="1:21" s="93" customFormat="1" ht="19.5" customHeight="1">
      <c r="A13" s="1308" t="s">
        <v>186</v>
      </c>
      <c r="B13" s="1308"/>
      <c r="C13" s="1308"/>
      <c r="D13" s="1308"/>
      <c r="E13" s="1308"/>
      <c r="F13" s="1308"/>
      <c r="G13" s="1308"/>
      <c r="H13" s="1308"/>
      <c r="I13" s="1308"/>
      <c r="J13" s="1308"/>
      <c r="K13" s="1308"/>
    </row>
    <row r="14" spans="1:21">
      <c r="A14" s="439" t="s">
        <v>838</v>
      </c>
      <c r="B14" s="105"/>
      <c r="C14" s="105"/>
      <c r="D14" s="105"/>
      <c r="E14" s="105"/>
      <c r="F14" s="105"/>
      <c r="G14" s="105"/>
      <c r="H14" s="105"/>
      <c r="I14" s="105"/>
      <c r="J14" s="105"/>
      <c r="K14" s="105"/>
    </row>
  </sheetData>
  <mergeCells count="9">
    <mergeCell ref="A10:K10"/>
    <mergeCell ref="A13:K13"/>
    <mergeCell ref="A1:K1"/>
    <mergeCell ref="B2:C2"/>
    <mergeCell ref="D2:E2"/>
    <mergeCell ref="F2:G2"/>
    <mergeCell ref="H2:I2"/>
    <mergeCell ref="J2:K2"/>
    <mergeCell ref="A12:K12"/>
  </mergeCells>
  <printOptions horizontalCentered="1"/>
  <pageMargins left="0.78431372549019618" right="0.78431372549019618" top="0.98039215686274517" bottom="0.98039215686274517" header="0.50980392156862753" footer="0.50980392156862753"/>
  <pageSetup paperSize="9" scale="80" orientation="landscape" useFirstPageNumber="1" r:id="rId1"/>
  <headerFooter alignWithMargins="0"/>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10"/>
  <sheetViews>
    <sheetView workbookViewId="0">
      <selection sqref="A1:D1"/>
    </sheetView>
  </sheetViews>
  <sheetFormatPr defaultColWidth="9.140625" defaultRowHeight="15"/>
  <cols>
    <col min="1" max="1" width="17.5703125" style="92" customWidth="1"/>
    <col min="2" max="3" width="14.5703125" style="92" bestFit="1" customWidth="1"/>
    <col min="4" max="4" width="14.5703125" style="92" customWidth="1"/>
    <col min="5" max="5" width="13.5703125" style="92" customWidth="1"/>
    <col min="6" max="6" width="6.85546875" style="92" customWidth="1"/>
    <col min="7" max="16384" width="9.140625" style="92"/>
  </cols>
  <sheetData>
    <row r="1" spans="1:5" ht="31.5" customHeight="1">
      <c r="A1" s="1312" t="s">
        <v>913</v>
      </c>
      <c r="B1" s="1312"/>
      <c r="C1" s="1312"/>
      <c r="D1" s="1312"/>
      <c r="E1" s="562"/>
    </row>
    <row r="2" spans="1:5" s="330" customFormat="1" ht="18" customHeight="1">
      <c r="A2" s="588" t="s">
        <v>236</v>
      </c>
      <c r="B2" s="530" t="s">
        <v>518</v>
      </c>
      <c r="C2" s="531" t="s">
        <v>743</v>
      </c>
      <c r="D2" s="589">
        <f>'1'!C2</f>
        <v>45535</v>
      </c>
    </row>
    <row r="3" spans="1:5" s="330" customFormat="1" ht="18" customHeight="1">
      <c r="A3" s="590" t="s">
        <v>73</v>
      </c>
      <c r="B3" s="591">
        <f>'17'!$H$4</f>
        <v>1629038.3499999999</v>
      </c>
      <c r="C3" s="591">
        <f>'17'!$I$5</f>
        <v>9556.3208653846159</v>
      </c>
      <c r="D3" s="591">
        <f>VLOOKUP(D$2,'17'!$A$6:$H$17,8,0)</f>
        <v>209348.01</v>
      </c>
      <c r="E3" s="133"/>
    </row>
    <row r="4" spans="1:5" s="330" customFormat="1" ht="18" customHeight="1">
      <c r="A4" s="590" t="s">
        <v>75</v>
      </c>
      <c r="B4" s="591">
        <f>'19'!$H$4</f>
        <v>29.338079719999996</v>
      </c>
      <c r="C4" s="591">
        <f>'19'!$I$5</f>
        <v>6.2637539663461528E-2</v>
      </c>
      <c r="D4" s="591">
        <f>VLOOKUP(D$2,'19'!$A$6:$H$17,8,0)</f>
        <v>4.4310668249999994</v>
      </c>
    </row>
    <row r="5" spans="1:5" s="330" customFormat="1" ht="18" customHeight="1">
      <c r="A5" s="590" t="s">
        <v>74</v>
      </c>
      <c r="B5" s="591">
        <f>'18'!$H$4</f>
        <v>20103439.399999999</v>
      </c>
      <c r="C5" s="591">
        <f>'18'!$I$5</f>
        <v>126856.70317307694</v>
      </c>
      <c r="D5" s="591">
        <f>VLOOKUP(D$2,'18'!$A$6:$H$17,8,0)</f>
        <v>2638156.9900000002</v>
      </c>
    </row>
    <row r="6" spans="1:5" s="330" customFormat="1">
      <c r="A6" s="419" t="str">
        <f>"$ indicates as on "&amp;TEXT($D$2,"mmmm dd, yyyy")</f>
        <v>$ indicates as on August 31, 2024</v>
      </c>
      <c r="B6" s="332"/>
      <c r="C6" s="332"/>
      <c r="D6" s="332"/>
    </row>
    <row r="7" spans="1:5" s="330" customFormat="1">
      <c r="A7" s="134" t="s">
        <v>237</v>
      </c>
      <c r="B7" s="561"/>
      <c r="C7" s="561"/>
      <c r="D7" s="561"/>
    </row>
    <row r="8" spans="1:5" s="330" customFormat="1">
      <c r="B8" s="561"/>
      <c r="C8" s="561"/>
      <c r="D8" s="561"/>
    </row>
    <row r="9" spans="1:5" s="330" customFormat="1">
      <c r="A9" s="419" t="s">
        <v>169</v>
      </c>
      <c r="B9" s="92"/>
      <c r="C9" s="92"/>
      <c r="D9" s="92"/>
    </row>
    <row r="10" spans="1:5" ht="28.35" customHeight="1">
      <c r="D10" s="592"/>
    </row>
  </sheetData>
  <mergeCells count="1">
    <mergeCell ref="A1:D1"/>
  </mergeCells>
  <printOptions horizontalCentered="1"/>
  <pageMargins left="0.78431372549019618" right="0.78431372549019618" top="0.98039215686274517" bottom="0.98039215686274517" header="0.50980392156862753" footer="0.50980392156862753"/>
  <pageSetup paperSize="9" orientation="portrait" useFirstPageNumber="1" r:id="rId1"/>
  <headerFooter alignWithMargins="0"/>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21"/>
  <sheetViews>
    <sheetView workbookViewId="0"/>
  </sheetViews>
  <sheetFormatPr defaultColWidth="9.140625" defaultRowHeight="15"/>
  <cols>
    <col min="1" max="12" width="14.5703125" style="92" bestFit="1" customWidth="1"/>
    <col min="13" max="13" width="14" style="92" bestFit="1" customWidth="1"/>
    <col min="14" max="16" width="14.5703125" style="92" bestFit="1" customWidth="1"/>
    <col min="17" max="17" width="13" style="92" customWidth="1"/>
    <col min="18" max="16384" width="9.140625" style="92"/>
  </cols>
  <sheetData>
    <row r="1" spans="1:18" ht="18.75" customHeight="1">
      <c r="A1" s="222" t="s">
        <v>238</v>
      </c>
      <c r="B1" s="222"/>
      <c r="C1" s="222"/>
      <c r="D1" s="222"/>
      <c r="E1" s="222"/>
      <c r="F1" s="222"/>
      <c r="G1" s="222"/>
      <c r="H1" s="222"/>
      <c r="I1" s="222"/>
      <c r="J1" s="222"/>
      <c r="K1" s="222"/>
      <c r="L1" s="222"/>
      <c r="M1" s="222"/>
      <c r="N1" s="222"/>
      <c r="O1" s="222"/>
      <c r="P1" s="222"/>
    </row>
    <row r="2" spans="1:18" s="330" customFormat="1" ht="18" customHeight="1">
      <c r="A2" s="1313" t="s">
        <v>116</v>
      </c>
      <c r="B2" s="1318" t="s">
        <v>239</v>
      </c>
      <c r="C2" s="1318" t="s">
        <v>240</v>
      </c>
      <c r="D2" s="1318" t="s">
        <v>241</v>
      </c>
      <c r="E2" s="1313" t="s">
        <v>242</v>
      </c>
      <c r="F2" s="1313" t="s">
        <v>243</v>
      </c>
      <c r="G2" s="1313" t="s">
        <v>244</v>
      </c>
      <c r="H2" s="1313" t="s">
        <v>245</v>
      </c>
      <c r="I2" s="1313" t="s">
        <v>246</v>
      </c>
      <c r="J2" s="1313" t="s">
        <v>247</v>
      </c>
      <c r="K2" s="1313" t="s">
        <v>248</v>
      </c>
      <c r="L2" s="1313" t="s">
        <v>249</v>
      </c>
      <c r="M2" s="1313" t="s">
        <v>250</v>
      </c>
      <c r="N2" s="1315" t="s">
        <v>251</v>
      </c>
      <c r="O2" s="1316"/>
      <c r="P2" s="1317"/>
    </row>
    <row r="3" spans="1:18" s="330" customFormat="1" ht="21.75" customHeight="1">
      <c r="A3" s="1314"/>
      <c r="B3" s="1319"/>
      <c r="C3" s="1319"/>
      <c r="D3" s="1319"/>
      <c r="E3" s="1314"/>
      <c r="F3" s="1314"/>
      <c r="G3" s="1314"/>
      <c r="H3" s="1314"/>
      <c r="I3" s="1314"/>
      <c r="J3" s="1314"/>
      <c r="K3" s="1314"/>
      <c r="L3" s="1314"/>
      <c r="M3" s="1314"/>
      <c r="N3" s="532" t="s">
        <v>252</v>
      </c>
      <c r="O3" s="532" t="s">
        <v>253</v>
      </c>
      <c r="P3" s="532" t="s">
        <v>254</v>
      </c>
    </row>
    <row r="4" spans="1:18" s="97" customFormat="1" ht="18" customHeight="1">
      <c r="A4" s="530" t="s">
        <v>518</v>
      </c>
      <c r="B4" s="535">
        <v>5252</v>
      </c>
      <c r="C4" s="535">
        <v>25</v>
      </c>
      <c r="D4" s="535">
        <v>4295</v>
      </c>
      <c r="E4" s="593">
        <v>246</v>
      </c>
      <c r="F4" s="535">
        <v>8263.4500000000007</v>
      </c>
      <c r="G4" s="536">
        <v>2120712.34</v>
      </c>
      <c r="H4" s="536">
        <v>1629038.3499999999</v>
      </c>
      <c r="I4" s="535">
        <v>6622.1071138211373</v>
      </c>
      <c r="J4" s="535">
        <v>19713.77995873394</v>
      </c>
      <c r="K4" s="536">
        <v>2120712.34</v>
      </c>
      <c r="L4" s="536">
        <v>1629038.25</v>
      </c>
      <c r="M4" s="594">
        <v>38697099.770000003</v>
      </c>
      <c r="N4" s="535">
        <v>74245.17</v>
      </c>
      <c r="O4" s="535">
        <v>58793.08</v>
      </c>
      <c r="P4" s="535">
        <v>73651.350000000006</v>
      </c>
    </row>
    <row r="5" spans="1:18" s="97" customFormat="1" ht="18" customHeight="1">
      <c r="A5" s="531" t="s">
        <v>743</v>
      </c>
      <c r="B5" s="537">
        <f>INDEX(B6:B17,COUNT(B6:B17))</f>
        <v>5316</v>
      </c>
      <c r="C5" s="537">
        <f>INDEX(C6:C17,COUNT(C6:C17))</f>
        <v>25</v>
      </c>
      <c r="D5" s="328">
        <v>4289</v>
      </c>
      <c r="E5" s="537">
        <f>SUM(E6:E17)</f>
        <v>104</v>
      </c>
      <c r="F5" s="537">
        <f>SUM(F6:F17)</f>
        <v>4971.4000000000005</v>
      </c>
      <c r="G5" s="537">
        <f>SUM(G6:G17)</f>
        <v>994070.39000000013</v>
      </c>
      <c r="H5" s="537">
        <f>SUM(H6:H17)</f>
        <v>993857.37</v>
      </c>
      <c r="I5" s="223">
        <f>H5/E5</f>
        <v>9556.3208653846159</v>
      </c>
      <c r="J5" s="537">
        <f>H5/F5*100</f>
        <v>19991.498772981453</v>
      </c>
      <c r="K5" s="537">
        <f>SUM(K6:K17)</f>
        <v>994070.39000000013</v>
      </c>
      <c r="L5" s="537">
        <f>SUM(L6:L17)</f>
        <v>993857.32</v>
      </c>
      <c r="M5" s="537">
        <f>INDEX(M6:M17,COUNT(M6:M17))</f>
        <v>46439993.770000003</v>
      </c>
      <c r="N5" s="537">
        <f>MAX(N6:N17)</f>
        <v>82637.03</v>
      </c>
      <c r="O5" s="537">
        <f>MIN(O6:O17)</f>
        <v>70234.429999999993</v>
      </c>
      <c r="P5" s="537">
        <f>INDEX(P6:P17,COUNT(P6:P17))</f>
        <v>82365.77</v>
      </c>
    </row>
    <row r="6" spans="1:18" s="330" customFormat="1" ht="18" customHeight="1">
      <c r="A6" s="174">
        <v>45412</v>
      </c>
      <c r="B6" s="328">
        <v>5264</v>
      </c>
      <c r="C6" s="328">
        <v>26</v>
      </c>
      <c r="D6" s="328">
        <v>4153</v>
      </c>
      <c r="E6" s="315">
        <v>20</v>
      </c>
      <c r="F6" s="328">
        <v>766.49</v>
      </c>
      <c r="G6" s="328">
        <v>188397.56</v>
      </c>
      <c r="H6" s="328">
        <v>152767.43</v>
      </c>
      <c r="I6" s="328">
        <v>7638.3714999999993</v>
      </c>
      <c r="J6" s="328">
        <v>19930.779266526635</v>
      </c>
      <c r="K6" s="328">
        <v>188397.56</v>
      </c>
      <c r="L6" s="328">
        <v>152767.43</v>
      </c>
      <c r="M6" s="316">
        <v>40655851.939999998</v>
      </c>
      <c r="N6" s="328">
        <v>75111.39</v>
      </c>
      <c r="O6" s="328">
        <v>74346.399999999994</v>
      </c>
      <c r="P6" s="328">
        <v>74482.78</v>
      </c>
      <c r="Q6" s="104"/>
    </row>
    <row r="7" spans="1:18" s="330" customFormat="1" ht="18" customHeight="1">
      <c r="A7" s="174">
        <v>45443</v>
      </c>
      <c r="B7" s="328">
        <v>5274</v>
      </c>
      <c r="C7" s="328">
        <v>26</v>
      </c>
      <c r="D7" s="328">
        <v>4170</v>
      </c>
      <c r="E7" s="315">
        <v>22</v>
      </c>
      <c r="F7" s="328">
        <v>871.14</v>
      </c>
      <c r="G7" s="328">
        <v>176258.29000000004</v>
      </c>
      <c r="H7" s="328">
        <v>169592.24000000002</v>
      </c>
      <c r="I7" s="328">
        <v>7708.738181818183</v>
      </c>
      <c r="J7" s="328">
        <v>19467.851321257207</v>
      </c>
      <c r="K7" s="328">
        <v>176258.29000000004</v>
      </c>
      <c r="L7" s="328">
        <v>169592.23</v>
      </c>
      <c r="M7" s="316">
        <v>41212881.140000001</v>
      </c>
      <c r="N7" s="328">
        <v>76009.679999999993</v>
      </c>
      <c r="O7" s="328">
        <v>71866.009999999995</v>
      </c>
      <c r="P7" s="328">
        <v>73961.31</v>
      </c>
      <c r="Q7" s="104"/>
    </row>
    <row r="8" spans="1:18" s="330" customFormat="1" ht="18" customHeight="1">
      <c r="A8" s="174">
        <v>45473</v>
      </c>
      <c r="B8" s="328">
        <v>5293</v>
      </c>
      <c r="C8" s="328">
        <v>26</v>
      </c>
      <c r="D8" s="328">
        <v>4200</v>
      </c>
      <c r="E8" s="315">
        <v>19</v>
      </c>
      <c r="F8" s="328">
        <v>1080.27</v>
      </c>
      <c r="G8" s="328">
        <v>201460.99999999997</v>
      </c>
      <c r="H8" s="328">
        <v>227001.57</v>
      </c>
      <c r="I8" s="328">
        <f>H8/E8</f>
        <v>11947.451052631579</v>
      </c>
      <c r="J8" s="328">
        <f>100*H8/F8</f>
        <v>21013.410536254825</v>
      </c>
      <c r="K8" s="328">
        <v>201460.99999999997</v>
      </c>
      <c r="L8" s="328">
        <v>227001.56</v>
      </c>
      <c r="M8" s="316">
        <v>43924743.630000003</v>
      </c>
      <c r="N8" s="328">
        <v>79671.58</v>
      </c>
      <c r="O8" s="328">
        <v>70234.429999999993</v>
      </c>
      <c r="P8" s="328">
        <v>79032.73</v>
      </c>
      <c r="R8" s="420"/>
    </row>
    <row r="9" spans="1:18" s="330" customFormat="1" ht="18" customHeight="1">
      <c r="A9" s="174">
        <v>45504</v>
      </c>
      <c r="B9" s="328">
        <v>5307</v>
      </c>
      <c r="C9" s="328">
        <v>26</v>
      </c>
      <c r="D9" s="328">
        <v>4208</v>
      </c>
      <c r="E9" s="328">
        <v>22</v>
      </c>
      <c r="F9" s="328">
        <v>1210.2900000000004</v>
      </c>
      <c r="G9" s="328">
        <v>242537.23000000004</v>
      </c>
      <c r="H9" s="328">
        <v>235148.12</v>
      </c>
      <c r="I9" s="328">
        <v>10688.550909090909</v>
      </c>
      <c r="J9" s="328">
        <v>19429.07237108461</v>
      </c>
      <c r="K9" s="328">
        <v>242537.23000000004</v>
      </c>
      <c r="L9" s="328">
        <v>235148.1</v>
      </c>
      <c r="M9" s="328">
        <v>46238008.350000001</v>
      </c>
      <c r="N9" s="328">
        <v>81908.429999999993</v>
      </c>
      <c r="O9" s="328">
        <v>78971.789999999994</v>
      </c>
      <c r="P9" s="328">
        <v>81741.34</v>
      </c>
    </row>
    <row r="10" spans="1:18" s="330" customFormat="1" ht="18" customHeight="1">
      <c r="A10" s="174">
        <v>45535</v>
      </c>
      <c r="B10" s="328">
        <v>5316</v>
      </c>
      <c r="C10" s="328">
        <v>25</v>
      </c>
      <c r="D10" s="328">
        <v>4227</v>
      </c>
      <c r="E10" s="328">
        <v>21</v>
      </c>
      <c r="F10" s="328">
        <v>1043.21</v>
      </c>
      <c r="G10" s="328">
        <v>185416.31000000003</v>
      </c>
      <c r="H10" s="328">
        <v>209348.01</v>
      </c>
      <c r="I10" s="328">
        <v>9968.9528571428582</v>
      </c>
      <c r="J10" s="328">
        <v>20067.676690215776</v>
      </c>
      <c r="K10" s="328">
        <v>185416.31000000003</v>
      </c>
      <c r="L10" s="328">
        <v>209348</v>
      </c>
      <c r="M10" s="328">
        <v>46439993.770000003</v>
      </c>
      <c r="N10" s="328">
        <v>82637.03</v>
      </c>
      <c r="O10" s="328">
        <v>78295.86</v>
      </c>
      <c r="P10" s="328">
        <v>82365.77</v>
      </c>
    </row>
    <row r="11" spans="1:18" s="330" customFormat="1" ht="19.5" customHeight="1">
      <c r="A11" s="174">
        <v>45565</v>
      </c>
      <c r="B11" s="328"/>
      <c r="C11" s="328"/>
      <c r="D11" s="328"/>
      <c r="E11" s="315"/>
      <c r="F11" s="328"/>
      <c r="G11" s="328"/>
      <c r="H11" s="328"/>
      <c r="I11" s="328"/>
      <c r="J11" s="328"/>
      <c r="K11" s="328"/>
      <c r="L11" s="328"/>
      <c r="M11" s="316"/>
      <c r="N11" s="328"/>
      <c r="O11" s="328"/>
      <c r="P11" s="328"/>
    </row>
    <row r="12" spans="1:18" s="330" customFormat="1" ht="19.5" customHeight="1">
      <c r="A12" s="174">
        <v>45596</v>
      </c>
      <c r="B12" s="328"/>
      <c r="C12" s="328"/>
      <c r="D12" s="328"/>
      <c r="E12" s="315"/>
      <c r="F12" s="328"/>
      <c r="G12" s="328"/>
      <c r="H12" s="328"/>
      <c r="I12" s="328"/>
      <c r="J12" s="328"/>
      <c r="K12" s="328"/>
      <c r="L12" s="328"/>
      <c r="M12" s="316"/>
      <c r="N12" s="328"/>
      <c r="O12" s="328"/>
      <c r="P12" s="328"/>
    </row>
    <row r="13" spans="1:18" s="330" customFormat="1" ht="19.5" customHeight="1">
      <c r="A13" s="174">
        <v>45626</v>
      </c>
      <c r="B13" s="328"/>
      <c r="C13" s="328"/>
      <c r="D13" s="328"/>
      <c r="E13" s="315"/>
      <c r="F13" s="328"/>
      <c r="G13" s="328"/>
      <c r="H13" s="328"/>
      <c r="I13" s="328"/>
      <c r="J13" s="328"/>
      <c r="K13" s="328"/>
      <c r="L13" s="328"/>
      <c r="M13" s="316"/>
      <c r="N13" s="328"/>
      <c r="O13" s="328"/>
      <c r="P13" s="328"/>
    </row>
    <row r="14" spans="1:18" s="330" customFormat="1" ht="18" customHeight="1">
      <c r="A14" s="174">
        <v>45657</v>
      </c>
      <c r="B14" s="328"/>
      <c r="C14" s="328"/>
      <c r="D14" s="328"/>
      <c r="E14" s="315"/>
      <c r="F14" s="328"/>
      <c r="G14" s="328"/>
      <c r="H14" s="328"/>
      <c r="I14" s="328"/>
      <c r="J14" s="328"/>
      <c r="K14" s="328"/>
      <c r="L14" s="328"/>
      <c r="M14" s="316"/>
      <c r="N14" s="328"/>
      <c r="O14" s="328"/>
      <c r="P14" s="328"/>
    </row>
    <row r="15" spans="1:18" s="330" customFormat="1">
      <c r="A15" s="174">
        <v>45688</v>
      </c>
      <c r="B15" s="328"/>
      <c r="C15" s="328"/>
      <c r="D15" s="328"/>
      <c r="E15" s="315"/>
      <c r="F15" s="328"/>
      <c r="G15" s="328"/>
      <c r="H15" s="328"/>
      <c r="I15" s="328"/>
      <c r="J15" s="328"/>
      <c r="K15" s="328"/>
      <c r="L15" s="328"/>
      <c r="M15" s="316"/>
      <c r="N15" s="328"/>
      <c r="O15" s="328"/>
      <c r="P15" s="328"/>
    </row>
    <row r="16" spans="1:18" s="330" customFormat="1">
      <c r="A16" s="174">
        <v>45716</v>
      </c>
      <c r="B16" s="328"/>
      <c r="C16" s="328"/>
      <c r="D16" s="328"/>
      <c r="E16" s="315"/>
      <c r="F16" s="328"/>
      <c r="G16" s="328"/>
      <c r="H16" s="328"/>
      <c r="I16" s="328"/>
      <c r="J16" s="328"/>
      <c r="K16" s="328"/>
      <c r="L16" s="328"/>
      <c r="M16" s="316"/>
      <c r="N16" s="328"/>
      <c r="O16" s="328"/>
      <c r="P16" s="328"/>
    </row>
    <row r="17" spans="1:16" s="330" customFormat="1">
      <c r="A17" s="174">
        <v>45747</v>
      </c>
      <c r="B17" s="328"/>
      <c r="C17" s="328"/>
      <c r="D17" s="328"/>
      <c r="E17" s="315"/>
      <c r="F17" s="328"/>
      <c r="G17" s="328"/>
      <c r="H17" s="328"/>
      <c r="I17" s="328"/>
      <c r="J17" s="328"/>
      <c r="K17" s="328"/>
      <c r="L17" s="328"/>
      <c r="M17" s="316"/>
      <c r="N17" s="328"/>
      <c r="O17" s="328"/>
      <c r="P17" s="328"/>
    </row>
    <row r="18" spans="1:16" s="330" customFormat="1">
      <c r="A18" s="743" t="str">
        <f>"$ indicates as on "&amp;TEXT(IF(COUNT(B6:B17)=1,A6,IF(COUNT(B6:B17)=2,A7,IF(COUNT(B6:B17)=3,A8,IF(COUNT(B6:B17)=4,A9,IF(COUNT(B6:B17)=5,A10,IF(COUNT(B6:B17)=6,A11,IF(COUNT(B6:B17)=7,A12,IF(COUNT(B6:B17)=8,A13,IF(COUNT(B6:B17)=9,A14,IF(COUNT(B6:B17)=10,A15,IF(COUNT(B6:B17)=11,A16,A17))))))))))),"mmmm dd, yyyy")</f>
        <v>$ indicates as on August 31, 2024</v>
      </c>
      <c r="C18" s="332"/>
      <c r="D18" s="332"/>
      <c r="E18" s="332"/>
      <c r="F18" s="332"/>
      <c r="G18" s="332"/>
      <c r="H18" s="332"/>
      <c r="I18" s="332"/>
      <c r="J18" s="332"/>
      <c r="K18" s="332"/>
      <c r="L18" s="332"/>
      <c r="M18" s="332"/>
      <c r="N18" s="332"/>
      <c r="O18" s="332"/>
      <c r="P18" s="332"/>
    </row>
    <row r="19" spans="1:16" s="330" customFormat="1">
      <c r="A19" s="135" t="s">
        <v>255</v>
      </c>
      <c r="B19" s="561"/>
      <c r="C19" s="561"/>
      <c r="D19" s="561"/>
      <c r="E19" s="561"/>
      <c r="F19" s="561"/>
      <c r="G19" s="561"/>
      <c r="H19" s="561"/>
      <c r="O19" s="104"/>
    </row>
    <row r="20" spans="1:16" s="330" customFormat="1">
      <c r="A20" s="134" t="s">
        <v>256</v>
      </c>
      <c r="B20" s="561"/>
      <c r="C20" s="561"/>
      <c r="D20" s="561"/>
      <c r="E20" s="561"/>
      <c r="F20" s="561"/>
      <c r="G20" s="561"/>
      <c r="H20" s="561"/>
      <c r="O20" s="104"/>
    </row>
    <row r="21" spans="1:16" s="330" customFormat="1">
      <c r="A21" s="1293" t="s">
        <v>257</v>
      </c>
      <c r="B21" s="1293"/>
      <c r="C21" s="1293"/>
      <c r="D21" s="1293"/>
      <c r="E21" s="1293"/>
      <c r="F21" s="1293"/>
      <c r="G21" s="1293"/>
      <c r="H21" s="1293"/>
    </row>
  </sheetData>
  <mergeCells count="15">
    <mergeCell ref="M2:M3"/>
    <mergeCell ref="N2:P2"/>
    <mergeCell ref="A21:H21"/>
    <mergeCell ref="G2:G3"/>
    <mergeCell ref="H2:H3"/>
    <mergeCell ref="I2:I3"/>
    <mergeCell ref="J2:J3"/>
    <mergeCell ref="K2:K3"/>
    <mergeCell ref="L2:L3"/>
    <mergeCell ref="A2:A3"/>
    <mergeCell ref="B2:B3"/>
    <mergeCell ref="C2:C3"/>
    <mergeCell ref="D2:D3"/>
    <mergeCell ref="E2:E3"/>
    <mergeCell ref="F2:F3"/>
  </mergeCells>
  <printOptions horizontalCentered="1"/>
  <pageMargins left="0.78431372549019618" right="0.78431372549019618" top="0.98039215686274517" bottom="0.98039215686274517" header="0.50980392156862753" footer="0.50980392156862753"/>
  <pageSetup paperSize="9" scale="55" orientation="landscape" useFirstPageNumber="1" r:id="rId1"/>
  <headerFooter alignWithMargins="0"/>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29"/>
  <sheetViews>
    <sheetView workbookViewId="0"/>
  </sheetViews>
  <sheetFormatPr defaultColWidth="9.140625" defaultRowHeight="15"/>
  <cols>
    <col min="1" max="16" width="14.5703125" style="92" bestFit="1" customWidth="1"/>
    <col min="17" max="17" width="4.5703125" style="92" bestFit="1" customWidth="1"/>
    <col min="18" max="16384" width="9.140625" style="92"/>
  </cols>
  <sheetData>
    <row r="1" spans="1:16">
      <c r="A1" s="222" t="s">
        <v>258</v>
      </c>
      <c r="B1" s="222"/>
      <c r="C1" s="222"/>
      <c r="D1" s="222"/>
      <c r="E1" s="222"/>
      <c r="F1" s="222"/>
      <c r="G1" s="222"/>
      <c r="H1" s="222"/>
      <c r="I1" s="222"/>
      <c r="J1" s="222"/>
      <c r="K1" s="222"/>
      <c r="L1" s="222"/>
      <c r="M1" s="222"/>
      <c r="N1" s="222"/>
      <c r="O1" s="222"/>
      <c r="P1" s="222"/>
    </row>
    <row r="2" spans="1:16" s="330" customFormat="1">
      <c r="A2" s="1313" t="s">
        <v>116</v>
      </c>
      <c r="B2" s="1318" t="s">
        <v>239</v>
      </c>
      <c r="C2" s="1318" t="s">
        <v>240</v>
      </c>
      <c r="D2" s="1318" t="s">
        <v>259</v>
      </c>
      <c r="E2" s="1313" t="s">
        <v>242</v>
      </c>
      <c r="F2" s="1313" t="s">
        <v>243</v>
      </c>
      <c r="G2" s="1313" t="s">
        <v>244</v>
      </c>
      <c r="H2" s="1313" t="s">
        <v>260</v>
      </c>
      <c r="I2" s="1313" t="s">
        <v>246</v>
      </c>
      <c r="J2" s="1313" t="s">
        <v>247</v>
      </c>
      <c r="K2" s="1313" t="s">
        <v>248</v>
      </c>
      <c r="L2" s="1313" t="s">
        <v>261</v>
      </c>
      <c r="M2" s="1313" t="s">
        <v>250</v>
      </c>
      <c r="N2" s="1315" t="s">
        <v>262</v>
      </c>
      <c r="O2" s="1316"/>
      <c r="P2" s="1317"/>
    </row>
    <row r="3" spans="1:16" s="330" customFormat="1" ht="30.75" customHeight="1">
      <c r="A3" s="1314"/>
      <c r="B3" s="1319"/>
      <c r="C3" s="1319"/>
      <c r="D3" s="1319"/>
      <c r="E3" s="1314"/>
      <c r="F3" s="1314"/>
      <c r="G3" s="1314"/>
      <c r="H3" s="1314"/>
      <c r="I3" s="1314"/>
      <c r="J3" s="1314"/>
      <c r="K3" s="1314"/>
      <c r="L3" s="1314"/>
      <c r="M3" s="1314"/>
      <c r="N3" s="532" t="s">
        <v>252</v>
      </c>
      <c r="O3" s="532" t="s">
        <v>253</v>
      </c>
      <c r="P3" s="532" t="s">
        <v>254</v>
      </c>
    </row>
    <row r="4" spans="1:16" s="97" customFormat="1">
      <c r="A4" s="530" t="s">
        <v>518</v>
      </c>
      <c r="B4" s="535">
        <v>2439</v>
      </c>
      <c r="C4" s="535">
        <v>3</v>
      </c>
      <c r="D4" s="535">
        <v>2985</v>
      </c>
      <c r="E4" s="593">
        <v>246</v>
      </c>
      <c r="F4" s="535">
        <v>68124.680000000008</v>
      </c>
      <c r="G4" s="536">
        <v>10179860.869999999</v>
      </c>
      <c r="H4" s="595">
        <v>20103439.399999999</v>
      </c>
      <c r="I4" s="535">
        <v>81721.298373983736</v>
      </c>
      <c r="J4" s="535">
        <v>29509.774431234018</v>
      </c>
      <c r="K4" s="536">
        <v>10179860.869999999</v>
      </c>
      <c r="L4" s="536">
        <v>20103439.399999999</v>
      </c>
      <c r="M4" s="594">
        <v>38421667.5427958</v>
      </c>
      <c r="N4" s="535">
        <v>22526.6</v>
      </c>
      <c r="O4" s="535">
        <v>17312.75</v>
      </c>
      <c r="P4" s="535">
        <v>22326.9</v>
      </c>
    </row>
    <row r="5" spans="1:16" s="97" customFormat="1">
      <c r="A5" s="531" t="s">
        <v>743</v>
      </c>
      <c r="B5" s="537">
        <f>INDEX(B6:B17,COUNT(B6:B17))</f>
        <v>2559</v>
      </c>
      <c r="C5" s="537">
        <f>INDEX(C6:C17,COUNT(C6:C17))</f>
        <v>3</v>
      </c>
      <c r="D5" s="328">
        <v>3446</v>
      </c>
      <c r="E5" s="537">
        <f>SUM(E6:E17)</f>
        <v>104</v>
      </c>
      <c r="F5" s="537">
        <f>SUM(F6:F17)</f>
        <v>41934.910000000003</v>
      </c>
      <c r="G5" s="537">
        <f>SUM(G6:G17)</f>
        <v>5263286.83</v>
      </c>
      <c r="H5" s="537">
        <f>SUM(H6:H17)</f>
        <v>13193097.130000001</v>
      </c>
      <c r="I5" s="223">
        <f>H5/E5</f>
        <v>126856.70317307694</v>
      </c>
      <c r="J5" s="537">
        <f>H5/F5*100</f>
        <v>31460.892917142304</v>
      </c>
      <c r="K5" s="537">
        <f>SUM(K6:K17)</f>
        <v>5263286.83</v>
      </c>
      <c r="L5" s="537">
        <f>SUM(L6:L17)</f>
        <v>13193097.130000001</v>
      </c>
      <c r="M5" s="537">
        <f>INDEX(M6:M17,COUNT(M6:M17))</f>
        <v>46109615.540309303</v>
      </c>
      <c r="N5" s="537">
        <f>MAX(N6:N17)</f>
        <v>25268.35</v>
      </c>
      <c r="O5" s="537">
        <f>MIN(O6:O17)</f>
        <v>21281.45</v>
      </c>
      <c r="P5" s="537">
        <f>INDEX(P6:P17,COUNT(P6:P17))</f>
        <v>25235.9</v>
      </c>
    </row>
    <row r="6" spans="1:16" s="330" customFormat="1">
      <c r="A6" s="174">
        <v>45412</v>
      </c>
      <c r="B6" s="328">
        <v>2464</v>
      </c>
      <c r="C6" s="328">
        <v>3</v>
      </c>
      <c r="D6" s="328">
        <v>2625</v>
      </c>
      <c r="E6" s="315">
        <v>20</v>
      </c>
      <c r="F6" s="328">
        <v>6810.19</v>
      </c>
      <c r="G6" s="328">
        <v>990584.38</v>
      </c>
      <c r="H6" s="328">
        <v>2120195.52</v>
      </c>
      <c r="I6" s="328">
        <v>106009.78</v>
      </c>
      <c r="J6" s="328">
        <v>31132.69</v>
      </c>
      <c r="K6" s="328">
        <v>990584.38</v>
      </c>
      <c r="L6" s="328">
        <v>2120195.52</v>
      </c>
      <c r="M6" s="316">
        <v>40304405.9649911</v>
      </c>
      <c r="N6" s="328">
        <v>22526.6</v>
      </c>
      <c r="O6" s="328">
        <v>21710.2</v>
      </c>
      <c r="P6" s="328">
        <v>22604.85</v>
      </c>
    </row>
    <row r="7" spans="1:16" s="330" customFormat="1">
      <c r="A7" s="174">
        <v>45443</v>
      </c>
      <c r="B7" s="328">
        <v>2482</v>
      </c>
      <c r="C7" s="328">
        <v>3</v>
      </c>
      <c r="D7" s="328">
        <v>2995</v>
      </c>
      <c r="E7" s="315">
        <v>22</v>
      </c>
      <c r="F7" s="328">
        <v>7680.33</v>
      </c>
      <c r="G7" s="328">
        <v>924888.14</v>
      </c>
      <c r="H7" s="328">
        <v>2467941.4300000002</v>
      </c>
      <c r="I7" s="328">
        <v>112179.16</v>
      </c>
      <c r="J7" s="328">
        <v>32133.27</v>
      </c>
      <c r="K7" s="328">
        <v>924888.14</v>
      </c>
      <c r="L7" s="328">
        <v>2467941.4300000002</v>
      </c>
      <c r="M7" s="316">
        <v>40880529.739361502</v>
      </c>
      <c r="N7" s="328">
        <v>23110.799999999999</v>
      </c>
      <c r="O7" s="328">
        <v>21821.05</v>
      </c>
      <c r="P7" s="328">
        <v>22530.7</v>
      </c>
    </row>
    <row r="8" spans="1:16" s="330" customFormat="1">
      <c r="A8" s="174">
        <v>45473</v>
      </c>
      <c r="B8" s="328">
        <v>2499</v>
      </c>
      <c r="C8" s="328">
        <v>3</v>
      </c>
      <c r="D8" s="328">
        <v>2998</v>
      </c>
      <c r="E8" s="315">
        <v>19</v>
      </c>
      <c r="F8" s="328">
        <v>8709.81</v>
      </c>
      <c r="G8" s="328">
        <v>1157608.3700000001</v>
      </c>
      <c r="H8" s="328">
        <v>2905226.46</v>
      </c>
      <c r="I8" s="328">
        <v>152906.66</v>
      </c>
      <c r="J8" s="328">
        <v>33355.800000000003</v>
      </c>
      <c r="K8" s="328">
        <v>1157608.3700000001</v>
      </c>
      <c r="L8" s="328">
        <v>2905226.46</v>
      </c>
      <c r="M8" s="316">
        <v>43573919.231727503</v>
      </c>
      <c r="N8" s="328">
        <v>24174</v>
      </c>
      <c r="O8" s="328">
        <v>21281.45</v>
      </c>
      <c r="P8" s="328">
        <v>24010.6</v>
      </c>
    </row>
    <row r="9" spans="1:16" s="330" customFormat="1">
      <c r="A9" s="174">
        <v>45504</v>
      </c>
      <c r="B9" s="328">
        <v>2529</v>
      </c>
      <c r="C9" s="328">
        <v>3</v>
      </c>
      <c r="D9" s="328">
        <v>3093</v>
      </c>
      <c r="E9" s="328">
        <v>22</v>
      </c>
      <c r="F9" s="328">
        <v>9850.42</v>
      </c>
      <c r="G9" s="328">
        <v>1185106.55</v>
      </c>
      <c r="H9" s="328">
        <v>3061576.73</v>
      </c>
      <c r="I9" s="328">
        <v>139162.57999999999</v>
      </c>
      <c r="J9" s="328">
        <v>31080.67</v>
      </c>
      <c r="K9" s="328">
        <v>1185106.55</v>
      </c>
      <c r="L9" s="328">
        <v>3061576.73</v>
      </c>
      <c r="M9" s="328">
        <v>45865877.613030799</v>
      </c>
      <c r="N9" s="328">
        <v>24999</v>
      </c>
      <c r="O9" s="328">
        <v>23992</v>
      </c>
      <c r="P9" s="328">
        <v>24951</v>
      </c>
    </row>
    <row r="10" spans="1:16" s="330" customFormat="1">
      <c r="A10" s="174">
        <v>45535</v>
      </c>
      <c r="B10" s="328">
        <v>2559</v>
      </c>
      <c r="C10" s="328">
        <v>3</v>
      </c>
      <c r="D10" s="328">
        <v>3077</v>
      </c>
      <c r="E10" s="315">
        <v>21</v>
      </c>
      <c r="F10" s="328">
        <v>8884.16</v>
      </c>
      <c r="G10" s="328">
        <v>1005099.39</v>
      </c>
      <c r="H10" s="328">
        <v>2638156.9900000002</v>
      </c>
      <c r="I10" s="328">
        <v>125626.52</v>
      </c>
      <c r="J10" s="328">
        <v>29695.06</v>
      </c>
      <c r="K10" s="328">
        <v>1005099.39</v>
      </c>
      <c r="L10" s="328">
        <v>2638156.9900000002</v>
      </c>
      <c r="M10" s="316">
        <v>46109615.540309303</v>
      </c>
      <c r="N10" s="328">
        <v>25268.35</v>
      </c>
      <c r="O10" s="328">
        <v>23893.7</v>
      </c>
      <c r="P10" s="328">
        <v>25235.9</v>
      </c>
    </row>
    <row r="11" spans="1:16" s="330" customFormat="1">
      <c r="A11" s="174">
        <v>45565</v>
      </c>
      <c r="B11" s="328"/>
      <c r="C11" s="328"/>
      <c r="D11" s="328"/>
      <c r="E11" s="315"/>
      <c r="F11" s="328"/>
      <c r="G11" s="328"/>
      <c r="H11" s="328"/>
      <c r="I11" s="328"/>
      <c r="J11" s="328"/>
      <c r="K11" s="328"/>
      <c r="L11" s="328"/>
      <c r="M11" s="316"/>
      <c r="N11" s="328"/>
      <c r="O11" s="328"/>
      <c r="P11" s="328"/>
    </row>
    <row r="12" spans="1:16" s="330" customFormat="1">
      <c r="A12" s="174">
        <v>45596</v>
      </c>
      <c r="B12" s="328"/>
      <c r="C12" s="328"/>
      <c r="D12" s="328"/>
      <c r="E12" s="315"/>
      <c r="F12" s="328"/>
      <c r="G12" s="328"/>
      <c r="H12" s="328"/>
      <c r="I12" s="328"/>
      <c r="J12" s="328"/>
      <c r="K12" s="328"/>
      <c r="L12" s="328"/>
      <c r="M12" s="316"/>
      <c r="N12" s="328"/>
      <c r="O12" s="328"/>
      <c r="P12" s="328"/>
    </row>
    <row r="13" spans="1:16" s="330" customFormat="1">
      <c r="A13" s="174">
        <v>45626</v>
      </c>
      <c r="B13" s="328"/>
      <c r="C13" s="328"/>
      <c r="D13" s="328"/>
      <c r="E13" s="315"/>
      <c r="F13" s="328"/>
      <c r="G13" s="328"/>
      <c r="H13" s="328"/>
      <c r="I13" s="328"/>
      <c r="J13" s="328"/>
      <c r="K13" s="328"/>
      <c r="L13" s="328"/>
      <c r="M13" s="316"/>
      <c r="N13" s="328"/>
      <c r="O13" s="328"/>
      <c r="P13" s="328"/>
    </row>
    <row r="14" spans="1:16" s="330" customFormat="1">
      <c r="A14" s="174">
        <v>45657</v>
      </c>
      <c r="B14" s="328"/>
      <c r="C14" s="328"/>
      <c r="D14" s="328"/>
      <c r="E14" s="315"/>
      <c r="F14" s="328"/>
      <c r="G14" s="328"/>
      <c r="H14" s="328"/>
      <c r="I14" s="328"/>
      <c r="J14" s="328"/>
      <c r="K14" s="328"/>
      <c r="L14" s="328"/>
      <c r="M14" s="316"/>
      <c r="N14" s="328"/>
      <c r="O14" s="328"/>
      <c r="P14" s="328"/>
    </row>
    <row r="15" spans="1:16" s="330" customFormat="1">
      <c r="A15" s="174">
        <v>45688</v>
      </c>
      <c r="B15" s="328"/>
      <c r="C15" s="328"/>
      <c r="D15" s="328"/>
      <c r="E15" s="315"/>
      <c r="F15" s="328"/>
      <c r="G15" s="328"/>
      <c r="H15" s="328"/>
      <c r="I15" s="328"/>
      <c r="J15" s="328"/>
      <c r="K15" s="328"/>
      <c r="L15" s="328"/>
      <c r="M15" s="316"/>
      <c r="N15" s="328"/>
      <c r="O15" s="328"/>
      <c r="P15" s="328"/>
    </row>
    <row r="16" spans="1:16" s="330" customFormat="1">
      <c r="A16" s="174">
        <v>45716</v>
      </c>
      <c r="B16" s="328"/>
      <c r="C16" s="328"/>
      <c r="D16" s="328"/>
      <c r="E16" s="315"/>
      <c r="F16" s="328"/>
      <c r="G16" s="328"/>
      <c r="H16" s="328"/>
      <c r="I16" s="328"/>
      <c r="J16" s="328"/>
      <c r="K16" s="328"/>
      <c r="L16" s="328"/>
      <c r="M16" s="316"/>
      <c r="N16" s="328"/>
      <c r="O16" s="328"/>
      <c r="P16" s="328"/>
    </row>
    <row r="17" spans="1:16" s="330" customFormat="1">
      <c r="A17" s="174">
        <v>45747</v>
      </c>
      <c r="B17" s="320"/>
      <c r="C17" s="328"/>
      <c r="D17" s="320"/>
      <c r="E17" s="315"/>
      <c r="F17" s="328"/>
      <c r="G17" s="328"/>
      <c r="H17" s="328"/>
      <c r="I17" s="328"/>
      <c r="J17" s="328"/>
      <c r="K17" s="328"/>
      <c r="L17" s="328"/>
      <c r="M17" s="316"/>
      <c r="N17" s="328"/>
      <c r="O17" s="328"/>
      <c r="P17" s="328"/>
    </row>
    <row r="18" spans="1:16" s="330" customFormat="1">
      <c r="A18" s="743" t="str">
        <f>"$ indicates as on "&amp;TEXT(IF(COUNT(B6:B17)=1,A6,IF(COUNT(B6:B17)=2,A7,IF(COUNT(B6:B17)=3,A8,IF(COUNT(B6:B17)=4,A9,IF(COUNT(B6:B17)=5,A10,IF(COUNT(B6:B17)=6,A11,IF(COUNT(B6:B17)=7,A12,IF(COUNT(B6:B17)=8,A13,IF(COUNT(B6:B17)=9,A14,IF(COUNT(B6:B17)=10,A15,IF(COUNT(B6:B17)=11,A16,A17))))))))))),"mmmm dd, yyyy")</f>
        <v>$ indicates as on August 31, 2024</v>
      </c>
      <c r="B18" s="332"/>
      <c r="C18" s="332"/>
      <c r="D18" s="332"/>
      <c r="E18" s="358"/>
      <c r="F18" s="332"/>
      <c r="G18" s="332"/>
      <c r="H18" s="332"/>
      <c r="I18" s="332"/>
      <c r="J18" s="332"/>
      <c r="K18" s="332"/>
      <c r="L18" s="332"/>
      <c r="M18" s="359"/>
      <c r="N18" s="332"/>
      <c r="O18" s="332"/>
      <c r="P18" s="332"/>
    </row>
    <row r="19" spans="1:16" s="330" customFormat="1" ht="13.5" customHeight="1">
      <c r="A19" s="134" t="s">
        <v>263</v>
      </c>
      <c r="B19" s="134"/>
      <c r="C19" s="134"/>
      <c r="D19" s="134"/>
      <c r="E19" s="134"/>
      <c r="F19" s="134"/>
      <c r="G19" s="134"/>
      <c r="H19" s="134"/>
      <c r="J19" s="104"/>
      <c r="M19" s="136"/>
    </row>
    <row r="20" spans="1:16" s="330" customFormat="1" ht="13.5" customHeight="1">
      <c r="A20" s="134" t="s">
        <v>256</v>
      </c>
      <c r="B20" s="565"/>
      <c r="C20" s="565"/>
      <c r="D20" s="565"/>
      <c r="E20" s="565"/>
      <c r="F20" s="565"/>
      <c r="G20" s="565"/>
      <c r="H20" s="565"/>
      <c r="J20" s="104"/>
    </row>
    <row r="21" spans="1:16" s="330" customFormat="1">
      <c r="A21" s="1320" t="s">
        <v>264</v>
      </c>
      <c r="B21" s="1321"/>
      <c r="C21" s="1321"/>
      <c r="D21" s="1321"/>
      <c r="E21" s="1321"/>
      <c r="F21" s="1321"/>
      <c r="G21" s="1321"/>
      <c r="H21" s="1321"/>
      <c r="I21" s="1321"/>
      <c r="J21" s="1321"/>
    </row>
    <row r="22" spans="1:16" s="330" customFormat="1" ht="15" customHeight="1">
      <c r="A22" s="1322" t="s">
        <v>265</v>
      </c>
      <c r="B22" s="1322"/>
      <c r="C22" s="1322"/>
      <c r="D22" s="1322"/>
      <c r="E22" s="1322"/>
      <c r="F22" s="1322"/>
      <c r="G22" s="1322"/>
      <c r="H22" s="1322"/>
    </row>
    <row r="23" spans="1:16" s="330" customFormat="1">
      <c r="A23" s="419"/>
      <c r="B23" s="92"/>
      <c r="C23" s="92"/>
      <c r="D23" s="92"/>
      <c r="E23" s="92"/>
      <c r="F23" s="92"/>
      <c r="G23" s="92"/>
      <c r="H23" s="92"/>
    </row>
    <row r="24" spans="1:16">
      <c r="J24" s="175"/>
    </row>
    <row r="25" spans="1:16">
      <c r="G25" s="137"/>
      <c r="J25" s="175"/>
    </row>
    <row r="26" spans="1:16">
      <c r="H26" s="137"/>
      <c r="J26" s="175"/>
    </row>
    <row r="27" spans="1:16">
      <c r="H27" s="137"/>
      <c r="J27" s="175"/>
    </row>
    <row r="28" spans="1:16">
      <c r="H28" s="137"/>
      <c r="J28" s="175"/>
    </row>
    <row r="29" spans="1:16">
      <c r="H29" s="137"/>
    </row>
  </sheetData>
  <mergeCells count="16">
    <mergeCell ref="M2:M3"/>
    <mergeCell ref="N2:P2"/>
    <mergeCell ref="A21:J21"/>
    <mergeCell ref="A22:H22"/>
    <mergeCell ref="G2:G3"/>
    <mergeCell ref="H2:H3"/>
    <mergeCell ref="I2:I3"/>
    <mergeCell ref="J2:J3"/>
    <mergeCell ref="K2:K3"/>
    <mergeCell ref="L2:L3"/>
    <mergeCell ref="A2:A3"/>
    <mergeCell ref="B2:B3"/>
    <mergeCell ref="C2:C3"/>
    <mergeCell ref="D2:D3"/>
    <mergeCell ref="E2:E3"/>
    <mergeCell ref="F2:F3"/>
  </mergeCells>
  <printOptions horizontalCentered="1"/>
  <pageMargins left="0.78431372549019618" right="0.78431372549019618" top="0.98039215686274517" bottom="0.98039215686274517" header="0.50980392156862753" footer="0.50980392156862753"/>
  <pageSetup paperSize="9" scale="54" fitToHeight="0" orientation="landscape" useFirstPageNumber="1" r:id="rId1"/>
  <headerFooter alignWithMargins="0"/>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26"/>
  <sheetViews>
    <sheetView workbookViewId="0"/>
  </sheetViews>
  <sheetFormatPr defaultColWidth="9.140625" defaultRowHeight="15"/>
  <cols>
    <col min="1" max="1" width="13" style="92" customWidth="1"/>
    <col min="2" max="4" width="14.5703125" style="92" bestFit="1" customWidth="1"/>
    <col min="5" max="5" width="10.140625" style="92" customWidth="1"/>
    <col min="6" max="6" width="9.42578125" style="92" customWidth="1"/>
    <col min="7" max="7" width="10.42578125" style="92" customWidth="1"/>
    <col min="8" max="8" width="11.7109375" style="92" bestFit="1" customWidth="1"/>
    <col min="9" max="10" width="15.7109375" style="92" customWidth="1"/>
    <col min="11" max="11" width="14.5703125" style="92" bestFit="1" customWidth="1"/>
    <col min="12" max="12" width="9.85546875" style="92" customWidth="1"/>
    <col min="13" max="13" width="13.7109375" style="92" customWidth="1"/>
    <col min="14" max="16" width="10.7109375" style="92" customWidth="1"/>
    <col min="17" max="17" width="14.5703125" style="92" bestFit="1" customWidth="1"/>
    <col min="18" max="16384" width="9.140625" style="92"/>
  </cols>
  <sheetData>
    <row r="1" spans="1:16">
      <c r="A1" s="193" t="s">
        <v>15</v>
      </c>
      <c r="B1" s="193"/>
      <c r="C1" s="193"/>
    </row>
    <row r="2" spans="1:16" s="330" customFormat="1">
      <c r="A2" s="1313" t="s">
        <v>170</v>
      </c>
      <c r="B2" s="1318" t="s">
        <v>239</v>
      </c>
      <c r="C2" s="1318" t="s">
        <v>266</v>
      </c>
      <c r="D2" s="1313" t="s">
        <v>267</v>
      </c>
      <c r="E2" s="1313" t="s">
        <v>242</v>
      </c>
      <c r="F2" s="1313" t="s">
        <v>243</v>
      </c>
      <c r="G2" s="1313" t="s">
        <v>244</v>
      </c>
      <c r="H2" s="1313" t="s">
        <v>268</v>
      </c>
      <c r="I2" s="1313" t="s">
        <v>269</v>
      </c>
      <c r="J2" s="1313" t="s">
        <v>674</v>
      </c>
      <c r="K2" s="1313" t="s">
        <v>248</v>
      </c>
      <c r="L2" s="1313" t="s">
        <v>270</v>
      </c>
      <c r="M2" s="1313" t="s">
        <v>271</v>
      </c>
      <c r="N2" s="1315" t="s">
        <v>272</v>
      </c>
      <c r="O2" s="1316"/>
      <c r="P2" s="1317"/>
    </row>
    <row r="3" spans="1:16" s="330" customFormat="1" ht="32.25" customHeight="1">
      <c r="A3" s="1314"/>
      <c r="B3" s="1319"/>
      <c r="C3" s="1319"/>
      <c r="D3" s="1314"/>
      <c r="E3" s="1314"/>
      <c r="F3" s="1314"/>
      <c r="G3" s="1314"/>
      <c r="H3" s="1314"/>
      <c r="I3" s="1314"/>
      <c r="J3" s="1314"/>
      <c r="K3" s="1314"/>
      <c r="L3" s="1314"/>
      <c r="M3" s="1314"/>
      <c r="N3" s="532" t="s">
        <v>252</v>
      </c>
      <c r="O3" s="532" t="s">
        <v>253</v>
      </c>
      <c r="P3" s="532" t="s">
        <v>254</v>
      </c>
    </row>
    <row r="4" spans="1:16" s="97" customFormat="1">
      <c r="A4" s="530" t="s">
        <v>518</v>
      </c>
      <c r="B4" s="596">
        <v>266</v>
      </c>
      <c r="C4" s="596">
        <v>1705</v>
      </c>
      <c r="D4" s="596">
        <v>10</v>
      </c>
      <c r="E4" s="596">
        <v>246</v>
      </c>
      <c r="F4" s="596">
        <v>3.5100000000000001E-3</v>
      </c>
      <c r="G4" s="596">
        <v>20.224450000000001</v>
      </c>
      <c r="H4" s="596">
        <v>29.338079719999996</v>
      </c>
      <c r="I4" s="596">
        <v>0.11926048666666665</v>
      </c>
      <c r="J4" s="596">
        <v>835842.72706552688</v>
      </c>
      <c r="K4" s="596" t="s">
        <v>223</v>
      </c>
      <c r="L4" s="596" t="s">
        <v>223</v>
      </c>
      <c r="M4" s="597">
        <v>38356305.409999996</v>
      </c>
      <c r="N4" s="596">
        <v>42685.19</v>
      </c>
      <c r="O4" s="596">
        <v>33552.300000000003</v>
      </c>
      <c r="P4" s="596">
        <v>42417.24</v>
      </c>
    </row>
    <row r="5" spans="1:16" s="330" customFormat="1">
      <c r="A5" s="531" t="s">
        <v>743</v>
      </c>
      <c r="B5" s="537">
        <f>INDEX(B6:B17,COUNT(B6:B17))</f>
        <v>265</v>
      </c>
      <c r="C5" s="537">
        <f>INDEX(C6:C17,COUNT(C6:C17))</f>
        <v>1834</v>
      </c>
      <c r="D5" s="598">
        <v>7</v>
      </c>
      <c r="E5" s="537">
        <f>SUM(E6:E17)</f>
        <v>104</v>
      </c>
      <c r="F5" s="537">
        <f>SUM(F6:F17)</f>
        <v>1.9000000000000002E-3</v>
      </c>
      <c r="G5" s="537">
        <f>SUM(G6:G17)</f>
        <v>13.009779999999999</v>
      </c>
      <c r="H5" s="537">
        <f>SUM(H6:H17)</f>
        <v>6.5143041249999989</v>
      </c>
      <c r="I5" s="223">
        <f>H5/E5</f>
        <v>6.2637539663461528E-2</v>
      </c>
      <c r="J5" s="537">
        <f>H5/F5*100</f>
        <v>342858.11184210517</v>
      </c>
      <c r="K5" s="596" t="s">
        <v>223</v>
      </c>
      <c r="L5" s="596" t="s">
        <v>223</v>
      </c>
      <c r="M5" s="537">
        <f>INDEX(M6:M17,COUNT(M6:M17))</f>
        <v>47702106.850000001</v>
      </c>
      <c r="N5" s="537">
        <f>MAX(N6:N17)</f>
        <v>47831.79</v>
      </c>
      <c r="O5" s="537">
        <f>MIN(O6:O17)</f>
        <v>41588.01</v>
      </c>
      <c r="P5" s="537">
        <f>INDEX(P6:P17,COUNT(P6:P17))</f>
        <v>47831.79</v>
      </c>
    </row>
    <row r="6" spans="1:16" s="330" customFormat="1">
      <c r="A6" s="174">
        <v>45412</v>
      </c>
      <c r="B6" s="328">
        <v>266</v>
      </c>
      <c r="C6" s="328">
        <v>1704</v>
      </c>
      <c r="D6" s="328">
        <v>1</v>
      </c>
      <c r="E6" s="328">
        <v>20</v>
      </c>
      <c r="F6" s="328">
        <v>2.3000000000000001E-4</v>
      </c>
      <c r="G6" s="328">
        <v>0.76</v>
      </c>
      <c r="H6" s="328">
        <v>0.56713574999999994</v>
      </c>
      <c r="I6" s="328">
        <v>2.8356787499999998E-2</v>
      </c>
      <c r="J6" s="328">
        <v>246580.76086956519</v>
      </c>
      <c r="K6" s="328" t="s">
        <v>223</v>
      </c>
      <c r="L6" s="328" t="s">
        <v>223</v>
      </c>
      <c r="M6" s="316">
        <v>40187325.409999996</v>
      </c>
      <c r="N6" s="328">
        <v>43265.36</v>
      </c>
      <c r="O6" s="328">
        <v>41843.949999999997</v>
      </c>
      <c r="P6" s="328">
        <v>42994.7</v>
      </c>
    </row>
    <row r="7" spans="1:16" s="330" customFormat="1">
      <c r="A7" s="174">
        <v>45443</v>
      </c>
      <c r="B7" s="328">
        <v>266</v>
      </c>
      <c r="C7" s="328">
        <v>1771</v>
      </c>
      <c r="D7" s="328">
        <v>2</v>
      </c>
      <c r="E7" s="328">
        <v>22</v>
      </c>
      <c r="F7" s="328">
        <v>3.6000000000000002E-4</v>
      </c>
      <c r="G7" s="328">
        <v>0.96831999999999996</v>
      </c>
      <c r="H7" s="328">
        <v>0.73166049999999994</v>
      </c>
      <c r="I7" s="328">
        <v>3.3257295454545449E-2</v>
      </c>
      <c r="J7" s="328">
        <v>203239.02777777775</v>
      </c>
      <c r="K7" s="328" t="s">
        <v>223</v>
      </c>
      <c r="L7" s="328" t="s">
        <v>223</v>
      </c>
      <c r="M7" s="316">
        <v>41477459.560000002</v>
      </c>
      <c r="N7" s="328">
        <v>43643.65</v>
      </c>
      <c r="O7" s="328">
        <v>41779.14</v>
      </c>
      <c r="P7" s="328">
        <v>42784.29</v>
      </c>
    </row>
    <row r="8" spans="1:16" s="330" customFormat="1">
      <c r="A8" s="174">
        <v>45473</v>
      </c>
      <c r="B8" s="328">
        <v>266</v>
      </c>
      <c r="C8" s="328">
        <v>1840</v>
      </c>
      <c r="D8" s="328">
        <v>5</v>
      </c>
      <c r="E8" s="328">
        <v>19</v>
      </c>
      <c r="F8" s="328">
        <v>6.2E-4</v>
      </c>
      <c r="G8" s="328">
        <v>0.83760000000000001</v>
      </c>
      <c r="H8" s="328">
        <v>0.2662195</v>
      </c>
      <c r="I8" s="328">
        <v>1.4011552631578947E-2</v>
      </c>
      <c r="J8" s="328">
        <v>42938.629032258068</v>
      </c>
      <c r="K8" s="328" t="s">
        <v>223</v>
      </c>
      <c r="L8" s="328" t="s">
        <v>223</v>
      </c>
      <c r="M8" s="316">
        <v>45649187.890000001</v>
      </c>
      <c r="N8" s="328">
        <v>45764.87</v>
      </c>
      <c r="O8" s="328">
        <v>41588.01</v>
      </c>
      <c r="P8" s="328">
        <v>45686.35</v>
      </c>
    </row>
    <row r="9" spans="1:16" s="330" customFormat="1">
      <c r="A9" s="174">
        <v>45504</v>
      </c>
      <c r="B9" s="328">
        <v>266</v>
      </c>
      <c r="C9" s="328">
        <v>1837</v>
      </c>
      <c r="D9" s="328">
        <v>5</v>
      </c>
      <c r="E9" s="328">
        <v>22</v>
      </c>
      <c r="F9" s="328">
        <v>2.7E-4</v>
      </c>
      <c r="G9" s="328">
        <v>5.0656600000000003</v>
      </c>
      <c r="H9" s="328">
        <v>0.51822155000000003</v>
      </c>
      <c r="I9" s="328">
        <v>2.3555525000000001E-2</v>
      </c>
      <c r="J9" s="328">
        <v>191933.90740740742</v>
      </c>
      <c r="K9" s="328" t="s">
        <v>223</v>
      </c>
      <c r="L9" s="328" t="s">
        <v>223</v>
      </c>
      <c r="M9" s="316">
        <v>47610230.490000002</v>
      </c>
      <c r="N9" s="328">
        <v>47309.14</v>
      </c>
      <c r="O9" s="328">
        <v>45686.35</v>
      </c>
      <c r="P9" s="328">
        <v>47309.14</v>
      </c>
    </row>
    <row r="10" spans="1:16" s="330" customFormat="1">
      <c r="A10" s="174">
        <v>45535</v>
      </c>
      <c r="B10" s="328">
        <v>265</v>
      </c>
      <c r="C10" s="328">
        <v>1834</v>
      </c>
      <c r="D10" s="328">
        <v>2</v>
      </c>
      <c r="E10" s="328">
        <v>21</v>
      </c>
      <c r="F10" s="328">
        <v>4.2000000000000002E-4</v>
      </c>
      <c r="G10" s="328">
        <v>5.3781999999999996</v>
      </c>
      <c r="H10" s="328">
        <v>4.4310668249999994</v>
      </c>
      <c r="I10" s="328">
        <v>0.21100318214285713</v>
      </c>
      <c r="J10" s="328">
        <v>1055015.9107142854</v>
      </c>
      <c r="K10" s="328" t="s">
        <v>223</v>
      </c>
      <c r="L10" s="328" t="s">
        <v>223</v>
      </c>
      <c r="M10" s="328">
        <v>47702106.850000001</v>
      </c>
      <c r="N10" s="328">
        <v>47831.79</v>
      </c>
      <c r="O10" s="328">
        <v>45427.65</v>
      </c>
      <c r="P10" s="328">
        <v>47831.79</v>
      </c>
    </row>
    <row r="11" spans="1:16" s="330" customFormat="1">
      <c r="A11" s="174">
        <v>45565</v>
      </c>
      <c r="B11" s="328"/>
      <c r="C11" s="328"/>
      <c r="D11" s="328"/>
      <c r="E11" s="328"/>
      <c r="F11" s="328"/>
      <c r="G11" s="328"/>
      <c r="H11" s="328"/>
      <c r="I11" s="328"/>
      <c r="J11" s="328"/>
      <c r="K11" s="328"/>
      <c r="L11" s="328"/>
      <c r="M11" s="316"/>
      <c r="N11" s="328"/>
      <c r="O11" s="328"/>
      <c r="P11" s="328"/>
    </row>
    <row r="12" spans="1:16" s="330" customFormat="1">
      <c r="A12" s="174">
        <v>45596</v>
      </c>
      <c r="B12" s="328"/>
      <c r="C12" s="328"/>
      <c r="D12" s="328"/>
      <c r="E12" s="328"/>
      <c r="F12" s="328"/>
      <c r="G12" s="328"/>
      <c r="H12" s="328"/>
      <c r="I12" s="328"/>
      <c r="J12" s="328"/>
      <c r="K12" s="328"/>
      <c r="L12" s="328"/>
      <c r="M12" s="316"/>
      <c r="N12" s="328"/>
      <c r="O12" s="328"/>
      <c r="P12" s="328"/>
    </row>
    <row r="13" spans="1:16" s="330" customFormat="1">
      <c r="A13" s="174">
        <v>45626</v>
      </c>
      <c r="B13" s="328"/>
      <c r="C13" s="328"/>
      <c r="D13" s="328"/>
      <c r="E13" s="328"/>
      <c r="F13" s="328"/>
      <c r="G13" s="328"/>
      <c r="H13" s="328"/>
      <c r="I13" s="328"/>
      <c r="J13" s="328"/>
      <c r="K13" s="328"/>
      <c r="L13" s="328"/>
      <c r="M13" s="316"/>
      <c r="N13" s="328"/>
      <c r="O13" s="328"/>
      <c r="P13" s="328"/>
    </row>
    <row r="14" spans="1:16" s="330" customFormat="1">
      <c r="A14" s="174">
        <v>45657</v>
      </c>
      <c r="B14" s="328"/>
      <c r="C14" s="328"/>
      <c r="D14" s="328"/>
      <c r="E14" s="328"/>
      <c r="F14" s="328"/>
      <c r="G14" s="328"/>
      <c r="H14" s="328"/>
      <c r="I14" s="328"/>
      <c r="J14" s="328"/>
      <c r="K14" s="328"/>
      <c r="L14" s="328"/>
      <c r="M14" s="316"/>
      <c r="N14" s="328"/>
      <c r="O14" s="328"/>
      <c r="P14" s="328"/>
    </row>
    <row r="15" spans="1:16" s="330" customFormat="1">
      <c r="A15" s="174">
        <v>45688</v>
      </c>
      <c r="B15" s="328"/>
      <c r="C15" s="328"/>
      <c r="D15" s="328"/>
      <c r="E15" s="328"/>
      <c r="F15" s="328"/>
      <c r="G15" s="328"/>
      <c r="H15" s="328"/>
      <c r="I15" s="328"/>
      <c r="J15" s="328"/>
      <c r="K15" s="328"/>
      <c r="L15" s="328"/>
      <c r="M15" s="316"/>
      <c r="N15" s="328"/>
      <c r="O15" s="328"/>
      <c r="P15" s="328"/>
    </row>
    <row r="16" spans="1:16" s="330" customFormat="1">
      <c r="A16" s="174">
        <v>45716</v>
      </c>
      <c r="B16" s="328"/>
      <c r="C16" s="328"/>
      <c r="D16" s="328"/>
      <c r="E16" s="328"/>
      <c r="F16" s="328"/>
      <c r="G16" s="328"/>
      <c r="H16" s="328"/>
      <c r="I16" s="328"/>
      <c r="J16" s="328"/>
      <c r="K16" s="328"/>
      <c r="L16" s="328"/>
      <c r="M16" s="316"/>
      <c r="N16" s="328"/>
      <c r="O16" s="328"/>
      <c r="P16" s="328"/>
    </row>
    <row r="17" spans="1:17" s="330" customFormat="1">
      <c r="A17" s="174">
        <v>45747</v>
      </c>
      <c r="B17" s="328"/>
      <c r="C17" s="328"/>
      <c r="D17" s="328"/>
      <c r="E17" s="328"/>
      <c r="F17" s="328"/>
      <c r="G17" s="328"/>
      <c r="H17" s="328"/>
      <c r="I17" s="328"/>
      <c r="J17" s="328"/>
      <c r="K17" s="328"/>
      <c r="L17" s="328"/>
      <c r="M17" s="316"/>
      <c r="N17" s="328"/>
      <c r="O17" s="328"/>
      <c r="P17" s="328"/>
    </row>
    <row r="18" spans="1:17" s="330" customFormat="1">
      <c r="A18" s="743" t="str">
        <f>"$ indicates as on "&amp;TEXT(IF(COUNT(B6:B17)=1,A6,IF(COUNT(B6:B17)=2,A7,IF(COUNT(B6:B17)=3,A8,IF(COUNT(B6:B17)=4,A9,IF(COUNT(B6:B17)=5,A10,IF(COUNT(B6:B17)=6,A11,IF(COUNT(B6:B17)=7,A12,IF(COUNT(B6:B17)=8,A13,IF(COUNT(B6:B17)=9,A14,IF(COUNT(B6:B17)=10,A15,IF(COUNT(B6:B17)=11,A16,A17))))))))))),"mmmm dd, yyyy")</f>
        <v>$ indicates as on August 31, 2024</v>
      </c>
      <c r="B18" s="332"/>
      <c r="C18" s="332"/>
      <c r="D18" s="332"/>
      <c r="E18" s="332"/>
      <c r="F18" s="332"/>
      <c r="G18" s="332"/>
      <c r="H18" s="332"/>
      <c r="I18" s="332"/>
      <c r="J18" s="332"/>
      <c r="K18" s="332"/>
      <c r="L18" s="332"/>
      <c r="M18" s="359"/>
      <c r="N18" s="332"/>
      <c r="O18" s="332"/>
      <c r="P18" s="332"/>
    </row>
    <row r="19" spans="1:17" s="330" customFormat="1">
      <c r="A19" s="330" t="s">
        <v>273</v>
      </c>
      <c r="B19" s="332"/>
      <c r="C19" s="332"/>
      <c r="D19" s="332"/>
      <c r="E19" s="332"/>
      <c r="F19" s="332"/>
      <c r="G19" s="332"/>
      <c r="H19" s="332"/>
      <c r="I19" s="332"/>
      <c r="J19" s="332"/>
      <c r="K19" s="332"/>
      <c r="L19" s="332"/>
      <c r="M19" s="332"/>
      <c r="N19" s="332"/>
      <c r="O19" s="332"/>
      <c r="P19" s="332"/>
      <c r="Q19" s="332"/>
    </row>
    <row r="20" spans="1:17" s="330" customFormat="1">
      <c r="A20" s="131" t="s">
        <v>274</v>
      </c>
      <c r="B20" s="332"/>
      <c r="C20" s="332"/>
      <c r="D20" s="332"/>
      <c r="E20" s="332"/>
      <c r="F20" s="332"/>
      <c r="G20" s="332"/>
      <c r="H20" s="332"/>
      <c r="I20" s="332"/>
      <c r="J20" s="332"/>
      <c r="K20" s="332"/>
      <c r="L20" s="332"/>
      <c r="M20" s="332"/>
      <c r="N20" s="332"/>
      <c r="O20" s="332"/>
      <c r="P20" s="332"/>
      <c r="Q20" s="332"/>
    </row>
    <row r="21" spans="1:17" s="330" customFormat="1">
      <c r="A21" s="1293" t="s">
        <v>275</v>
      </c>
      <c r="B21" s="1293"/>
      <c r="C21" s="1293"/>
      <c r="D21" s="1293"/>
      <c r="E21" s="1293"/>
      <c r="F21" s="1293"/>
      <c r="G21" s="1293"/>
      <c r="H21" s="1293"/>
      <c r="I21" s="1293"/>
      <c r="J21" s="1293"/>
      <c r="K21" s="1293"/>
      <c r="L21" s="1293"/>
      <c r="M21" s="1293"/>
      <c r="N21" s="1293"/>
      <c r="O21" s="1293"/>
      <c r="P21" s="1293"/>
      <c r="Q21" s="1293"/>
    </row>
    <row r="22" spans="1:17" s="330" customFormat="1">
      <c r="A22" s="419"/>
      <c r="B22" s="92"/>
      <c r="C22" s="92"/>
      <c r="D22" s="92"/>
      <c r="E22" s="92"/>
      <c r="F22" s="92"/>
      <c r="G22" s="138"/>
      <c r="H22" s="92"/>
      <c r="I22" s="105"/>
      <c r="J22" s="175"/>
      <c r="K22" s="92"/>
      <c r="L22" s="92"/>
      <c r="M22" s="92"/>
      <c r="N22" s="92"/>
      <c r="O22" s="92"/>
      <c r="P22" s="92"/>
      <c r="Q22" s="92"/>
    </row>
    <row r="23" spans="1:17">
      <c r="I23" s="105"/>
      <c r="J23" s="175"/>
    </row>
    <row r="24" spans="1:17">
      <c r="I24" s="105"/>
      <c r="J24" s="175"/>
    </row>
    <row r="25" spans="1:17">
      <c r="I25" s="105"/>
      <c r="J25" s="175"/>
    </row>
    <row r="26" spans="1:17">
      <c r="I26" s="105"/>
      <c r="J26" s="175"/>
    </row>
  </sheetData>
  <mergeCells count="15">
    <mergeCell ref="M2:M3"/>
    <mergeCell ref="N2:P2"/>
    <mergeCell ref="A21:Q21"/>
    <mergeCell ref="G2:G3"/>
    <mergeCell ref="H2:H3"/>
    <mergeCell ref="I2:I3"/>
    <mergeCell ref="J2:J3"/>
    <mergeCell ref="K2:K3"/>
    <mergeCell ref="L2:L3"/>
    <mergeCell ref="A2:A3"/>
    <mergeCell ref="B2:B3"/>
    <mergeCell ref="C2:C3"/>
    <mergeCell ref="D2:D3"/>
    <mergeCell ref="E2:E3"/>
    <mergeCell ref="F2:F3"/>
  </mergeCells>
  <printOptions horizontalCentered="1"/>
  <pageMargins left="0.78431372549019618" right="0.78431372549019618" top="0.98039215686274517" bottom="0.98039215686274517" header="0.50980392156862753" footer="0.50980392156862753"/>
  <pageSetup paperSize="9" scale="64" orientation="landscape" useFirstPageNumber="1" r:id="rId1"/>
  <headerFooter alignWithMargins="0"/>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31"/>
  <sheetViews>
    <sheetView workbookViewId="0"/>
  </sheetViews>
  <sheetFormatPr defaultColWidth="9.140625" defaultRowHeight="15"/>
  <cols>
    <col min="1" max="1" width="6.42578125" style="92" bestFit="1" customWidth="1"/>
    <col min="2" max="2" width="36.42578125" style="92" bestFit="1" customWidth="1"/>
    <col min="3" max="8" width="13.5703125" style="92" bestFit="1" customWidth="1"/>
    <col min="9" max="16384" width="9.140625" style="92"/>
  </cols>
  <sheetData>
    <row r="1" spans="1:8" ht="20.25" customHeight="1">
      <c r="A1" s="485" t="s">
        <v>276</v>
      </c>
      <c r="B1" s="486"/>
      <c r="C1" s="486"/>
      <c r="D1" s="486"/>
      <c r="E1" s="486"/>
      <c r="F1" s="486"/>
      <c r="G1" s="486"/>
      <c r="H1" s="486"/>
    </row>
    <row r="2" spans="1:8" s="330" customFormat="1" ht="19.5" customHeight="1">
      <c r="A2" s="1325" t="s">
        <v>277</v>
      </c>
      <c r="B2" s="1326"/>
      <c r="C2" s="1326"/>
      <c r="D2" s="1326"/>
      <c r="E2" s="1326"/>
      <c r="F2" s="1326"/>
      <c r="G2" s="1326"/>
      <c r="H2" s="1327"/>
    </row>
    <row r="3" spans="1:8" s="330" customFormat="1" ht="15" customHeight="1">
      <c r="A3" s="1328" t="s">
        <v>278</v>
      </c>
      <c r="B3" s="1328" t="s">
        <v>279</v>
      </c>
      <c r="C3" s="1330" t="s">
        <v>73</v>
      </c>
      <c r="D3" s="1331"/>
      <c r="E3" s="1332" t="s">
        <v>74</v>
      </c>
      <c r="F3" s="1333"/>
      <c r="G3" s="1334" t="s">
        <v>75</v>
      </c>
      <c r="H3" s="1335"/>
    </row>
    <row r="4" spans="1:8" s="330" customFormat="1" ht="15" customHeight="1">
      <c r="A4" s="1329"/>
      <c r="B4" s="1329"/>
      <c r="C4" s="599" t="s">
        <v>743</v>
      </c>
      <c r="D4" s="1163">
        <v>45535</v>
      </c>
      <c r="E4" s="600" t="s">
        <v>743</v>
      </c>
      <c r="F4" s="1163">
        <v>45535</v>
      </c>
      <c r="G4" s="599" t="s">
        <v>743</v>
      </c>
      <c r="H4" s="1163">
        <v>45535</v>
      </c>
    </row>
    <row r="5" spans="1:8" s="330" customFormat="1" ht="15" customHeight="1">
      <c r="A5" s="1177">
        <v>1</v>
      </c>
      <c r="B5" s="601" t="s">
        <v>280</v>
      </c>
      <c r="C5" s="602">
        <v>25.266454808596706</v>
      </c>
      <c r="D5" s="602">
        <v>24.060485698107311</v>
      </c>
      <c r="E5" s="603">
        <v>16.329999999999998</v>
      </c>
      <c r="F5" s="604">
        <v>16.920000000000002</v>
      </c>
      <c r="G5" s="604">
        <v>0</v>
      </c>
      <c r="H5" s="603">
        <v>0</v>
      </c>
    </row>
    <row r="6" spans="1:8" s="330" customFormat="1" ht="15" customHeight="1">
      <c r="A6" s="1177">
        <v>2</v>
      </c>
      <c r="B6" s="601" t="s">
        <v>281</v>
      </c>
      <c r="C6" s="602">
        <v>0.40230767941795076</v>
      </c>
      <c r="D6" s="602">
        <v>0.25558691319628207</v>
      </c>
      <c r="E6" s="603">
        <v>2.31</v>
      </c>
      <c r="F6" s="604">
        <v>3.4</v>
      </c>
      <c r="G6" s="604">
        <v>0</v>
      </c>
      <c r="H6" s="603">
        <v>0</v>
      </c>
    </row>
    <row r="7" spans="1:8" s="330" customFormat="1" ht="15" customHeight="1">
      <c r="A7" s="1177">
        <v>3</v>
      </c>
      <c r="B7" s="601" t="s">
        <v>282</v>
      </c>
      <c r="C7" s="602">
        <v>0.258349435581187</v>
      </c>
      <c r="D7" s="602">
        <v>0.16796079908866809</v>
      </c>
      <c r="E7" s="603">
        <v>0.1</v>
      </c>
      <c r="F7" s="604">
        <v>0.09</v>
      </c>
      <c r="G7" s="604">
        <v>0</v>
      </c>
      <c r="H7" s="603">
        <v>0</v>
      </c>
    </row>
    <row r="8" spans="1:8" s="330" customFormat="1" ht="15" customHeight="1">
      <c r="A8" s="1177">
        <v>4</v>
      </c>
      <c r="B8" s="601" t="s">
        <v>283</v>
      </c>
      <c r="C8" s="602">
        <v>4.7219121743353708E-3</v>
      </c>
      <c r="D8" s="602">
        <v>7.2432354778114482E-3</v>
      </c>
      <c r="E8" s="603">
        <v>0</v>
      </c>
      <c r="F8" s="604">
        <v>0</v>
      </c>
      <c r="G8" s="604">
        <v>0</v>
      </c>
      <c r="H8" s="603">
        <v>0</v>
      </c>
    </row>
    <row r="9" spans="1:8" s="330" customFormat="1" ht="15" customHeight="1">
      <c r="A9" s="1177">
        <v>5</v>
      </c>
      <c r="B9" s="601" t="s">
        <v>284</v>
      </c>
      <c r="C9" s="602">
        <v>0.29286229619853754</v>
      </c>
      <c r="D9" s="602">
        <v>0.25612232040406746</v>
      </c>
      <c r="E9" s="603">
        <v>1.03</v>
      </c>
      <c r="F9" s="604">
        <v>0.74</v>
      </c>
      <c r="G9" s="604">
        <v>0</v>
      </c>
      <c r="H9" s="603">
        <v>0</v>
      </c>
    </row>
    <row r="10" spans="1:8" s="330" customFormat="1" ht="15" customHeight="1">
      <c r="A10" s="1177">
        <v>6</v>
      </c>
      <c r="B10" s="601" t="s">
        <v>285</v>
      </c>
      <c r="C10" s="602">
        <v>3.2146385804006729E-2</v>
      </c>
      <c r="D10" s="602">
        <v>1.8832799089369301E-2</v>
      </c>
      <c r="E10" s="603">
        <v>0.28999999999999998</v>
      </c>
      <c r="F10" s="604">
        <v>0.25</v>
      </c>
      <c r="G10" s="604">
        <v>0</v>
      </c>
      <c r="H10" s="603">
        <v>0</v>
      </c>
    </row>
    <row r="11" spans="1:8" s="330" customFormat="1" ht="15" customHeight="1">
      <c r="A11" s="1177">
        <v>7</v>
      </c>
      <c r="B11" s="601" t="s">
        <v>286</v>
      </c>
      <c r="C11" s="602">
        <v>1.2257672663253753E-2</v>
      </c>
      <c r="D11" s="602">
        <v>1.342650126605871E-2</v>
      </c>
      <c r="E11" s="603">
        <v>0.05</v>
      </c>
      <c r="F11" s="604">
        <v>0.04</v>
      </c>
      <c r="G11" s="604">
        <v>0</v>
      </c>
      <c r="H11" s="603">
        <v>0</v>
      </c>
    </row>
    <row r="12" spans="1:8" s="330" customFormat="1" ht="15" customHeight="1">
      <c r="A12" s="1177">
        <v>8</v>
      </c>
      <c r="B12" s="601" t="s">
        <v>287</v>
      </c>
      <c r="C12" s="602">
        <v>0.92297175468715009</v>
      </c>
      <c r="D12" s="602">
        <v>0.85716737024928624</v>
      </c>
      <c r="E12" s="603">
        <v>2.2400000000000002</v>
      </c>
      <c r="F12" s="604">
        <v>2.23</v>
      </c>
      <c r="G12" s="604">
        <v>15.131173354606005</v>
      </c>
      <c r="H12" s="603">
        <v>5.659472310034503E-2</v>
      </c>
    </row>
    <row r="13" spans="1:8" s="330" customFormat="1" ht="15" customHeight="1">
      <c r="A13" s="1177">
        <v>9</v>
      </c>
      <c r="B13" s="601" t="s">
        <v>288</v>
      </c>
      <c r="C13" s="602">
        <v>2.2519926871668074E-2</v>
      </c>
      <c r="D13" s="602">
        <v>1.8444423507743116E-2</v>
      </c>
      <c r="E13" s="603">
        <v>0</v>
      </c>
      <c r="F13" s="604">
        <v>0</v>
      </c>
      <c r="G13" s="604">
        <v>0</v>
      </c>
      <c r="H13" s="603">
        <v>0</v>
      </c>
    </row>
    <row r="14" spans="1:8" s="330" customFormat="1" ht="15" customHeight="1">
      <c r="A14" s="1177">
        <v>10</v>
      </c>
      <c r="B14" s="601" t="s">
        <v>289</v>
      </c>
      <c r="C14" s="602">
        <v>0.11652555682276529</v>
      </c>
      <c r="D14" s="602">
        <v>0.11204609594691066</v>
      </c>
      <c r="E14" s="603">
        <v>2.79</v>
      </c>
      <c r="F14" s="604">
        <v>2.4300000000000002</v>
      </c>
      <c r="G14" s="604">
        <v>0</v>
      </c>
      <c r="H14" s="603">
        <v>0</v>
      </c>
    </row>
    <row r="15" spans="1:8" s="330" customFormat="1" ht="15" customHeight="1">
      <c r="A15" s="1177">
        <v>11</v>
      </c>
      <c r="B15" s="601" t="s">
        <v>290</v>
      </c>
      <c r="C15" s="602">
        <v>0.31510967150515112</v>
      </c>
      <c r="D15" s="602">
        <v>0.34421821974506106</v>
      </c>
      <c r="E15" s="603">
        <v>0.19</v>
      </c>
      <c r="F15" s="604">
        <v>0.23</v>
      </c>
      <c r="G15" s="604">
        <v>0</v>
      </c>
      <c r="H15" s="603">
        <v>0</v>
      </c>
    </row>
    <row r="16" spans="1:8" s="330" customFormat="1" ht="15" customHeight="1">
      <c r="A16" s="1177">
        <v>12</v>
      </c>
      <c r="B16" s="601" t="s">
        <v>291</v>
      </c>
      <c r="C16" s="602">
        <v>0.38796887035090044</v>
      </c>
      <c r="D16" s="602">
        <v>0.26499054623105855</v>
      </c>
      <c r="E16" s="603">
        <v>0.16</v>
      </c>
      <c r="F16" s="604">
        <v>0.17</v>
      </c>
      <c r="G16" s="604">
        <v>0</v>
      </c>
      <c r="H16" s="603">
        <v>0</v>
      </c>
    </row>
    <row r="17" spans="1:8" s="330" customFormat="1" ht="15" customHeight="1">
      <c r="A17" s="1177">
        <v>13</v>
      </c>
      <c r="B17" s="601" t="s">
        <v>292</v>
      </c>
      <c r="C17" s="602">
        <v>7.705022670700859E-2</v>
      </c>
      <c r="D17" s="602">
        <v>8.1446608721102973E-2</v>
      </c>
      <c r="E17" s="603">
        <v>0.15</v>
      </c>
      <c r="F17" s="604">
        <v>0.16</v>
      </c>
      <c r="G17" s="604">
        <v>0</v>
      </c>
      <c r="H17" s="603">
        <v>0</v>
      </c>
    </row>
    <row r="18" spans="1:8" s="330" customFormat="1" ht="15" customHeight="1">
      <c r="A18" s="1177">
        <v>14</v>
      </c>
      <c r="B18" s="601" t="s">
        <v>293</v>
      </c>
      <c r="C18" s="602">
        <v>2.7664278719473323</v>
      </c>
      <c r="D18" s="602">
        <v>2.5510010996733214</v>
      </c>
      <c r="E18" s="603">
        <v>1.64</v>
      </c>
      <c r="F18" s="604">
        <v>1.44</v>
      </c>
      <c r="G18" s="604">
        <v>0</v>
      </c>
      <c r="H18" s="603">
        <v>0</v>
      </c>
    </row>
    <row r="19" spans="1:8" s="330" customFormat="1" ht="15" customHeight="1">
      <c r="A19" s="1177">
        <v>15</v>
      </c>
      <c r="B19" s="601" t="s">
        <v>294</v>
      </c>
      <c r="C19" s="602">
        <v>6.418785222323227E-2</v>
      </c>
      <c r="D19" s="602">
        <v>5.9038602551450679E-2</v>
      </c>
      <c r="E19" s="603">
        <v>0.03</v>
      </c>
      <c r="F19" s="604">
        <v>0.03</v>
      </c>
      <c r="G19" s="604">
        <v>0</v>
      </c>
      <c r="H19" s="603">
        <v>0</v>
      </c>
    </row>
    <row r="20" spans="1:8" s="330" customFormat="1" ht="15" customHeight="1">
      <c r="A20" s="1177">
        <v>16</v>
      </c>
      <c r="B20" s="601" t="s">
        <v>295</v>
      </c>
      <c r="C20" s="602">
        <v>9.3548882840850476E-3</v>
      </c>
      <c r="D20" s="602">
        <v>1.0115165463912591E-2</v>
      </c>
      <c r="E20" s="603">
        <v>0</v>
      </c>
      <c r="F20" s="604">
        <v>0</v>
      </c>
      <c r="G20" s="604">
        <v>0</v>
      </c>
      <c r="H20" s="603">
        <v>0</v>
      </c>
    </row>
    <row r="21" spans="1:8" s="330" customFormat="1" ht="15" customHeight="1">
      <c r="A21" s="1177">
        <v>17</v>
      </c>
      <c r="B21" s="601" t="s">
        <v>296</v>
      </c>
      <c r="C21" s="602">
        <v>31.226562995648511</v>
      </c>
      <c r="D21" s="602">
        <v>35.309908744664156</v>
      </c>
      <c r="E21" s="603">
        <v>64.06</v>
      </c>
      <c r="F21" s="604">
        <v>63.36</v>
      </c>
      <c r="G21" s="604">
        <v>0</v>
      </c>
      <c r="H21" s="603">
        <v>0</v>
      </c>
    </row>
    <row r="22" spans="1:8" s="330" customFormat="1" ht="15" customHeight="1">
      <c r="A22" s="1177">
        <v>18</v>
      </c>
      <c r="B22" s="601" t="s">
        <v>297</v>
      </c>
      <c r="C22" s="602">
        <v>1.0627890501734705E-2</v>
      </c>
      <c r="D22" s="602">
        <v>8.2197214626556579E-3</v>
      </c>
      <c r="E22" s="603">
        <v>0</v>
      </c>
      <c r="F22" s="604">
        <v>0</v>
      </c>
      <c r="G22" s="604">
        <v>0</v>
      </c>
      <c r="H22" s="603">
        <v>0</v>
      </c>
    </row>
    <row r="23" spans="1:8" s="330" customFormat="1" ht="15" customHeight="1">
      <c r="A23" s="1177">
        <v>19</v>
      </c>
      <c r="B23" s="601" t="s">
        <v>298</v>
      </c>
      <c r="C23" s="602">
        <v>0.18916492968260692</v>
      </c>
      <c r="D23" s="602">
        <v>0.15112180826865107</v>
      </c>
      <c r="E23" s="603">
        <v>0.36</v>
      </c>
      <c r="F23" s="604">
        <v>0.34</v>
      </c>
      <c r="G23" s="604">
        <v>0</v>
      </c>
      <c r="H23" s="603">
        <v>0</v>
      </c>
    </row>
    <row r="24" spans="1:8" s="330" customFormat="1" ht="15" customHeight="1">
      <c r="A24" s="1177">
        <v>20</v>
      </c>
      <c r="B24" s="601" t="s">
        <v>299</v>
      </c>
      <c r="C24" s="602">
        <v>1.3850588800027368</v>
      </c>
      <c r="D24" s="602">
        <v>1.1535694238702452</v>
      </c>
      <c r="E24" s="603">
        <v>0.52</v>
      </c>
      <c r="F24" s="604">
        <v>0.53</v>
      </c>
      <c r="G24" s="604">
        <v>0</v>
      </c>
      <c r="H24" s="603">
        <v>0</v>
      </c>
    </row>
    <row r="25" spans="1:8" s="330" customFormat="1" ht="15" customHeight="1">
      <c r="A25" s="1177">
        <v>21</v>
      </c>
      <c r="B25" s="601" t="s">
        <v>300</v>
      </c>
      <c r="C25" s="602">
        <v>36.237368494329139</v>
      </c>
      <c r="D25" s="602">
        <v>34.29905390301488</v>
      </c>
      <c r="E25" s="603">
        <v>7.71</v>
      </c>
      <c r="F25" s="604">
        <v>7.64</v>
      </c>
      <c r="G25" s="604">
        <v>84.868826645393995</v>
      </c>
      <c r="H25" s="603">
        <v>99.943405276899654</v>
      </c>
    </row>
    <row r="26" spans="1:8" s="330" customFormat="1" ht="13.5" customHeight="1">
      <c r="A26" s="601"/>
      <c r="B26" s="601" t="s">
        <v>96</v>
      </c>
      <c r="C26" s="605">
        <v>100</v>
      </c>
      <c r="D26" s="605">
        <v>100</v>
      </c>
      <c r="E26" s="606">
        <f>SUM(E5:E25)</f>
        <v>99.96</v>
      </c>
      <c r="F26" s="606">
        <f>SUM(F5:F25)</f>
        <v>100.00000000000001</v>
      </c>
      <c r="G26" s="606">
        <v>100</v>
      </c>
      <c r="H26" s="606">
        <v>100</v>
      </c>
    </row>
    <row r="27" spans="1:8" s="330" customFormat="1" ht="13.5" customHeight="1">
      <c r="A27" s="131"/>
      <c r="B27" s="131"/>
      <c r="C27" s="139"/>
      <c r="D27" s="139"/>
      <c r="E27" s="139"/>
      <c r="F27" s="140"/>
      <c r="G27" s="140"/>
      <c r="H27" s="139"/>
    </row>
    <row r="28" spans="1:8" s="330" customFormat="1" ht="14.25" customHeight="1">
      <c r="A28" s="1323" t="s">
        <v>81</v>
      </c>
      <c r="B28" s="1323"/>
      <c r="C28" s="1323"/>
      <c r="D28" s="1323"/>
      <c r="E28" s="1323"/>
      <c r="F28" s="1323"/>
      <c r="G28" s="1323"/>
      <c r="H28" s="1323"/>
    </row>
    <row r="29" spans="1:8">
      <c r="A29" s="1324" t="str">
        <f>"$ indicates as on "&amp;TEXT($D$4,"mmmm dd, yyyy")</f>
        <v>$ indicates as on August 31, 2024</v>
      </c>
      <c r="B29" s="1324"/>
      <c r="C29" s="1324"/>
      <c r="D29" s="1324"/>
      <c r="E29" s="1324"/>
      <c r="F29" s="1324"/>
      <c r="G29" s="1324"/>
      <c r="H29" s="1324"/>
    </row>
    <row r="30" spans="1:8" s="330" customFormat="1" ht="32.25" customHeight="1">
      <c r="A30" s="1324" t="s">
        <v>1396</v>
      </c>
      <c r="B30" s="1324"/>
      <c r="C30" s="1324"/>
      <c r="D30" s="1324"/>
      <c r="E30" s="1324"/>
      <c r="F30" s="1324"/>
      <c r="G30" s="1324"/>
      <c r="H30" s="1324"/>
    </row>
    <row r="31" spans="1:8" s="330" customFormat="1" ht="13.5" customHeight="1">
      <c r="A31" s="1323" t="s">
        <v>169</v>
      </c>
      <c r="B31" s="1323"/>
      <c r="C31" s="1323"/>
      <c r="D31" s="1323"/>
      <c r="E31" s="1323"/>
      <c r="F31" s="1323"/>
      <c r="G31" s="1323"/>
      <c r="H31" s="1323"/>
    </row>
  </sheetData>
  <mergeCells count="10">
    <mergeCell ref="A28:H28"/>
    <mergeCell ref="A30:H30"/>
    <mergeCell ref="A31:H31"/>
    <mergeCell ref="A2:H2"/>
    <mergeCell ref="A3:A4"/>
    <mergeCell ref="B3:B4"/>
    <mergeCell ref="C3:D3"/>
    <mergeCell ref="E3:F3"/>
    <mergeCell ref="G3:H3"/>
    <mergeCell ref="A29:H29"/>
  </mergeCells>
  <printOptions horizontalCentered="1"/>
  <pageMargins left="0.78431372549019618" right="0.78431372549019618" top="0.98039215686274517" bottom="0.98039215686274517" header="0.50980392156862753" footer="0.50980392156862753"/>
  <pageSetup paperSize="9" scale="93" orientation="landscape" useFirstPageNumber="1" r:id="rId1"/>
  <headerFooter alignWithMargins="0"/>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21"/>
  <sheetViews>
    <sheetView workbookViewId="0"/>
  </sheetViews>
  <sheetFormatPr defaultColWidth="9.140625" defaultRowHeight="15"/>
  <cols>
    <col min="1" max="6" width="14.5703125" style="92" bestFit="1" customWidth="1"/>
    <col min="7" max="7" width="4.5703125" style="92" bestFit="1" customWidth="1"/>
    <col min="8" max="16384" width="9.140625" style="92"/>
  </cols>
  <sheetData>
    <row r="1" spans="1:6" ht="18" customHeight="1">
      <c r="A1" s="222" t="s">
        <v>18</v>
      </c>
      <c r="B1" s="222"/>
      <c r="C1" s="222"/>
      <c r="D1" s="222"/>
      <c r="E1" s="222"/>
      <c r="F1" s="222"/>
    </row>
    <row r="2" spans="1:6" s="330" customFormat="1" ht="18" customHeight="1">
      <c r="A2" s="573" t="s">
        <v>306</v>
      </c>
      <c r="B2" s="1330" t="s">
        <v>301</v>
      </c>
      <c r="C2" s="1336"/>
      <c r="D2" s="1336"/>
      <c r="E2" s="1336"/>
      <c r="F2" s="1337"/>
    </row>
    <row r="3" spans="1:6" s="330" customFormat="1" ht="18" customHeight="1">
      <c r="A3" s="567"/>
      <c r="B3" s="607" t="s">
        <v>302</v>
      </c>
      <c r="C3" s="607" t="s">
        <v>303</v>
      </c>
      <c r="D3" s="607" t="s">
        <v>80</v>
      </c>
      <c r="E3" s="607" t="s">
        <v>304</v>
      </c>
      <c r="F3" s="607" t="s">
        <v>300</v>
      </c>
    </row>
    <row r="4" spans="1:6" s="97" customFormat="1" ht="18" customHeight="1">
      <c r="A4" s="530" t="s">
        <v>518</v>
      </c>
      <c r="B4" s="608">
        <v>28.24</v>
      </c>
      <c r="C4" s="608">
        <v>14.43</v>
      </c>
      <c r="D4" s="608">
        <v>7.78</v>
      </c>
      <c r="E4" s="608">
        <v>0.24</v>
      </c>
      <c r="F4" s="608">
        <v>49.31</v>
      </c>
    </row>
    <row r="5" spans="1:6" s="97" customFormat="1" ht="18" customHeight="1">
      <c r="A5" s="531" t="s">
        <v>743</v>
      </c>
      <c r="B5" s="610">
        <v>29.22</v>
      </c>
      <c r="C5" s="610">
        <v>13.85</v>
      </c>
      <c r="D5" s="610">
        <v>8.39</v>
      </c>
      <c r="E5" s="610">
        <v>0.19</v>
      </c>
      <c r="F5" s="610">
        <v>48.35</v>
      </c>
    </row>
    <row r="6" spans="1:6" s="330" customFormat="1" ht="18" customHeight="1">
      <c r="A6" s="174">
        <v>45412</v>
      </c>
      <c r="B6" s="310">
        <v>29.27</v>
      </c>
      <c r="C6" s="310">
        <v>13.71</v>
      </c>
      <c r="D6" s="310">
        <v>8.48</v>
      </c>
      <c r="E6" s="310">
        <v>0.16</v>
      </c>
      <c r="F6" s="310">
        <v>48.39</v>
      </c>
    </row>
    <row r="7" spans="1:6" s="330" customFormat="1" ht="18" customHeight="1">
      <c r="A7" s="174">
        <v>45443</v>
      </c>
      <c r="B7" s="310">
        <v>29.15</v>
      </c>
      <c r="C7" s="310">
        <v>16.100000000000001</v>
      </c>
      <c r="D7" s="310">
        <v>8.5500000000000007</v>
      </c>
      <c r="E7" s="310">
        <v>0.19</v>
      </c>
      <c r="F7" s="310">
        <v>46.01</v>
      </c>
    </row>
    <row r="8" spans="1:6" s="330" customFormat="1" ht="18" customHeight="1">
      <c r="A8" s="174">
        <v>45473</v>
      </c>
      <c r="B8" s="310">
        <v>30.07</v>
      </c>
      <c r="C8" s="310">
        <v>13.22</v>
      </c>
      <c r="D8" s="310">
        <v>8.7100000000000009</v>
      </c>
      <c r="E8" s="310">
        <v>0.18</v>
      </c>
      <c r="F8" s="310">
        <v>47.82</v>
      </c>
    </row>
    <row r="9" spans="1:6" s="330" customFormat="1" ht="18" customHeight="1">
      <c r="A9" s="174">
        <v>45504</v>
      </c>
      <c r="B9" s="310">
        <v>29.26</v>
      </c>
      <c r="C9" s="310">
        <v>11.53</v>
      </c>
      <c r="D9" s="310">
        <v>8.19</v>
      </c>
      <c r="E9" s="310">
        <v>0.2</v>
      </c>
      <c r="F9" s="310">
        <v>50.82</v>
      </c>
    </row>
    <row r="10" spans="1:6" s="330" customFormat="1" ht="18" customHeight="1">
      <c r="A10" s="174">
        <v>45535</v>
      </c>
      <c r="B10" s="310">
        <v>28.29</v>
      </c>
      <c r="C10" s="310">
        <v>15.24</v>
      </c>
      <c r="D10" s="310">
        <v>8.0299999999999994</v>
      </c>
      <c r="E10" s="310">
        <v>0.23</v>
      </c>
      <c r="F10" s="310">
        <v>48.2</v>
      </c>
    </row>
    <row r="11" spans="1:6" s="330" customFormat="1" ht="18" customHeight="1">
      <c r="A11" s="174">
        <v>45565</v>
      </c>
      <c r="B11" s="310"/>
      <c r="C11" s="310"/>
      <c r="D11" s="310"/>
      <c r="E11" s="310"/>
      <c r="F11" s="310"/>
    </row>
    <row r="12" spans="1:6" s="330" customFormat="1">
      <c r="A12" s="174">
        <v>45596</v>
      </c>
      <c r="B12" s="310"/>
      <c r="C12" s="310"/>
      <c r="D12" s="310"/>
      <c r="E12" s="310"/>
      <c r="F12" s="310"/>
    </row>
    <row r="13" spans="1:6" s="330" customFormat="1" ht="13.5" customHeight="1">
      <c r="A13" s="174">
        <v>45626</v>
      </c>
      <c r="B13" s="310"/>
      <c r="C13" s="310"/>
      <c r="D13" s="310"/>
      <c r="E13" s="310"/>
      <c r="F13" s="310"/>
    </row>
    <row r="14" spans="1:6" s="330" customFormat="1">
      <c r="A14" s="174">
        <v>45657</v>
      </c>
      <c r="B14" s="310"/>
      <c r="C14" s="310"/>
      <c r="D14" s="310"/>
      <c r="E14" s="310"/>
      <c r="F14" s="310"/>
    </row>
    <row r="15" spans="1:6" s="330" customFormat="1">
      <c r="A15" s="174">
        <v>45688</v>
      </c>
      <c r="B15" s="310"/>
      <c r="C15" s="310"/>
      <c r="D15" s="310"/>
      <c r="E15" s="310"/>
      <c r="F15" s="310"/>
    </row>
    <row r="16" spans="1:6" s="330" customFormat="1">
      <c r="A16" s="174">
        <v>45716</v>
      </c>
      <c r="B16" s="310"/>
      <c r="C16" s="310"/>
      <c r="D16" s="310"/>
      <c r="E16" s="310"/>
      <c r="F16" s="310"/>
    </row>
    <row r="17" spans="1:6" s="330" customFormat="1">
      <c r="A17" s="174">
        <v>45747</v>
      </c>
      <c r="B17" s="310"/>
      <c r="C17" s="310"/>
      <c r="D17" s="310"/>
      <c r="E17" s="310"/>
      <c r="F17" s="310"/>
    </row>
    <row r="18" spans="1:6" s="330" customFormat="1">
      <c r="A18" s="743" t="str">
        <f>"$ indicates as on "&amp;TEXT(IF(COUNT(B6:B17)=1,A6,IF(COUNT(B6:B17)=2,A7,IF(COUNT(B6:B17)=3,A8,IF(COUNT(B6:B17)=4,A9,IF(COUNT(B6:B17)=5,A10,IF(COUNT(B6:B17)=6,A11,IF(COUNT(B6:B17)=7,A12,IF(COUNT(B6:B17)=8,A13,IF(COUNT(B6:B17)=9,A14,IF(COUNT(B6:B17)=10,A15,IF(COUNT(B6:B17)=11,A16,A17))))))))))),"mmmm dd, yyyy")</f>
        <v>$ indicates as on August 31, 2024</v>
      </c>
      <c r="B18" s="360"/>
      <c r="C18" s="360"/>
      <c r="D18" s="360"/>
      <c r="E18" s="360"/>
      <c r="F18" s="360"/>
    </row>
    <row r="19" spans="1:6" s="330" customFormat="1">
      <c r="A19" s="1293" t="s">
        <v>307</v>
      </c>
      <c r="B19" s="1293"/>
      <c r="C19" s="1293"/>
      <c r="D19" s="1293"/>
      <c r="E19" s="1293"/>
      <c r="F19" s="1293"/>
    </row>
    <row r="20" spans="1:6" s="330" customFormat="1">
      <c r="A20" s="419"/>
    </row>
    <row r="21" spans="1:6" s="330" customFormat="1">
      <c r="A21" s="92"/>
      <c r="B21" s="92"/>
      <c r="C21" s="92"/>
      <c r="D21" s="92"/>
      <c r="E21" s="92"/>
      <c r="F21" s="92"/>
    </row>
  </sheetData>
  <mergeCells count="2">
    <mergeCell ref="B2:F2"/>
    <mergeCell ref="A19:F19"/>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21"/>
  <sheetViews>
    <sheetView workbookViewId="0"/>
  </sheetViews>
  <sheetFormatPr defaultColWidth="9.140625" defaultRowHeight="15"/>
  <cols>
    <col min="1" max="6" width="14.5703125" style="92" bestFit="1" customWidth="1"/>
    <col min="7" max="7" width="5.42578125" style="92" bestFit="1" customWidth="1"/>
    <col min="8" max="16384" width="9.140625" style="92"/>
  </cols>
  <sheetData>
    <row r="1" spans="1:7">
      <c r="A1" s="222" t="s">
        <v>17</v>
      </c>
      <c r="B1" s="222"/>
      <c r="C1" s="222"/>
      <c r="D1" s="222"/>
      <c r="E1" s="222"/>
      <c r="F1" s="222"/>
    </row>
    <row r="2" spans="1:7" s="330" customFormat="1" ht="18" customHeight="1">
      <c r="A2" s="1328" t="s">
        <v>116</v>
      </c>
      <c r="B2" s="1325" t="s">
        <v>301</v>
      </c>
      <c r="C2" s="1326"/>
      <c r="D2" s="1326"/>
      <c r="E2" s="1326"/>
      <c r="F2" s="1327"/>
    </row>
    <row r="3" spans="1:7" s="330" customFormat="1" ht="18" customHeight="1">
      <c r="A3" s="1329"/>
      <c r="B3" s="607" t="s">
        <v>302</v>
      </c>
      <c r="C3" s="607" t="s">
        <v>303</v>
      </c>
      <c r="D3" s="607" t="s">
        <v>80</v>
      </c>
      <c r="E3" s="607" t="s">
        <v>304</v>
      </c>
      <c r="F3" s="607" t="s">
        <v>300</v>
      </c>
    </row>
    <row r="4" spans="1:7" s="97" customFormat="1" ht="18" customHeight="1">
      <c r="A4" s="530" t="s">
        <v>518</v>
      </c>
      <c r="B4" s="608">
        <v>34.431982336452869</v>
      </c>
      <c r="C4" s="608">
        <v>13.0199984621889</v>
      </c>
      <c r="D4" s="608">
        <v>3.2849058607471351</v>
      </c>
      <c r="E4" s="608">
        <v>0.13515121235006566</v>
      </c>
      <c r="F4" s="608">
        <v>49.127962128261025</v>
      </c>
    </row>
    <row r="5" spans="1:7" s="97" customFormat="1" ht="18" customHeight="1">
      <c r="A5" s="531" t="s">
        <v>743</v>
      </c>
      <c r="B5" s="609">
        <v>37.013603833862739</v>
      </c>
      <c r="C5" s="609">
        <v>7.4594995090036909</v>
      </c>
      <c r="D5" s="609">
        <v>3.2480273982559087</v>
      </c>
      <c r="E5" s="609">
        <v>4.8244930093673241E-2</v>
      </c>
      <c r="F5" s="609">
        <v>52.230624328783982</v>
      </c>
      <c r="G5" s="141"/>
    </row>
    <row r="6" spans="1:7" s="330" customFormat="1" ht="18" customHeight="1">
      <c r="A6" s="174">
        <v>45412</v>
      </c>
      <c r="B6" s="310">
        <v>38.581507405826095</v>
      </c>
      <c r="C6" s="310">
        <v>6.1647818120874911</v>
      </c>
      <c r="D6" s="310">
        <v>2.7451590559904235</v>
      </c>
      <c r="E6" s="310">
        <v>5.6915565716708369E-3</v>
      </c>
      <c r="F6" s="310">
        <v>52.502860169524311</v>
      </c>
    </row>
    <row r="7" spans="1:7" s="330" customFormat="1" ht="18" customHeight="1">
      <c r="A7" s="174">
        <v>45443</v>
      </c>
      <c r="B7" s="310">
        <v>38.793481223311346</v>
      </c>
      <c r="C7" s="310">
        <v>6.4085656478851396</v>
      </c>
      <c r="D7" s="310">
        <v>3.7494118401991301</v>
      </c>
      <c r="E7" s="310">
        <v>0.16447709273690175</v>
      </c>
      <c r="F7" s="310">
        <v>50.884064195867481</v>
      </c>
    </row>
    <row r="8" spans="1:7" s="330" customFormat="1" ht="18" customHeight="1">
      <c r="A8" s="174">
        <v>45473</v>
      </c>
      <c r="B8" s="310">
        <v>37.024266733175502</v>
      </c>
      <c r="C8" s="310">
        <v>7.8948549022786887</v>
      </c>
      <c r="D8" s="310">
        <v>2.9717587175929077</v>
      </c>
      <c r="E8" s="310">
        <v>3.771359293089252E-2</v>
      </c>
      <c r="F8" s="310">
        <v>52.07140605402202</v>
      </c>
    </row>
    <row r="9" spans="1:7" s="330" customFormat="1" ht="18" customHeight="1">
      <c r="A9" s="174">
        <v>45504</v>
      </c>
      <c r="B9" s="310">
        <v>37.377336019145311</v>
      </c>
      <c r="C9" s="310">
        <v>4.6951793483689039</v>
      </c>
      <c r="D9" s="310">
        <v>3.9112741536855991</v>
      </c>
      <c r="E9" s="310">
        <v>3.2679896316554324E-2</v>
      </c>
      <c r="F9" s="310">
        <v>53.983530582483638</v>
      </c>
    </row>
    <row r="10" spans="1:7" s="330" customFormat="1" ht="18" customHeight="1">
      <c r="A10" s="174">
        <v>45535</v>
      </c>
      <c r="B10" s="310">
        <v>34.007463860208581</v>
      </c>
      <c r="C10" s="310">
        <v>11.888580201969013</v>
      </c>
      <c r="D10" s="310">
        <v>2.7633951024876922</v>
      </c>
      <c r="E10" s="310">
        <v>1.4040711160935838E-2</v>
      </c>
      <c r="F10" s="310">
        <v>51.326520124173783</v>
      </c>
    </row>
    <row r="11" spans="1:7" s="330" customFormat="1" ht="13.5" customHeight="1">
      <c r="A11" s="174">
        <v>45565</v>
      </c>
      <c r="B11" s="310"/>
      <c r="C11" s="310"/>
      <c r="D11" s="310"/>
      <c r="E11" s="310"/>
      <c r="F11" s="310"/>
    </row>
    <row r="12" spans="1:7" s="330" customFormat="1">
      <c r="A12" s="174">
        <v>45596</v>
      </c>
      <c r="B12" s="310"/>
      <c r="C12" s="310"/>
      <c r="D12" s="310"/>
      <c r="E12" s="310"/>
      <c r="F12" s="310"/>
    </row>
    <row r="13" spans="1:7" s="330" customFormat="1" ht="13.5" customHeight="1">
      <c r="A13" s="174">
        <v>45626</v>
      </c>
      <c r="B13" s="310"/>
      <c r="C13" s="310"/>
      <c r="D13" s="310"/>
      <c r="E13" s="310"/>
      <c r="F13" s="310"/>
    </row>
    <row r="14" spans="1:7" s="330" customFormat="1">
      <c r="A14" s="174">
        <v>45657</v>
      </c>
      <c r="B14" s="310"/>
      <c r="C14" s="310"/>
      <c r="D14" s="310"/>
      <c r="E14" s="310"/>
      <c r="F14" s="310"/>
    </row>
    <row r="15" spans="1:7" s="330" customFormat="1">
      <c r="A15" s="174">
        <v>45688</v>
      </c>
      <c r="B15" s="310"/>
      <c r="C15" s="310"/>
      <c r="D15" s="310"/>
      <c r="E15" s="310"/>
      <c r="F15" s="310"/>
    </row>
    <row r="16" spans="1:7" s="330" customFormat="1">
      <c r="A16" s="174">
        <v>45716</v>
      </c>
      <c r="B16" s="310"/>
      <c r="C16" s="310"/>
      <c r="D16" s="310"/>
      <c r="E16" s="310"/>
      <c r="F16" s="310"/>
    </row>
    <row r="17" spans="1:6" s="330" customFormat="1">
      <c r="A17" s="174">
        <v>45747</v>
      </c>
      <c r="B17" s="310"/>
      <c r="C17" s="310"/>
      <c r="D17" s="310"/>
      <c r="E17" s="310"/>
      <c r="F17" s="310"/>
    </row>
    <row r="18" spans="1:6" s="330" customFormat="1" ht="15" customHeight="1">
      <c r="A18" s="743" t="str">
        <f>"$ indicates as on "&amp;TEXT(IF(COUNT(B6:B17)=1,A6,IF(COUNT(B6:B17)=2,A7,IF(COUNT(B6:B17)=3,A8,IF(COUNT(B6:B17)=4,A9,IF(COUNT(B6:B17)=5,A10,IF(COUNT(B6:B17)=6,A11,IF(COUNT(B6:B17)=7,A12,IF(COUNT(B6:B17)=8,A13,IF(COUNT(B6:B17)=9,A14,IF(COUNT(B6:B17)=10,A15,IF(COUNT(B6:B17)=11,A16,A17))))))))))),"mmmm dd, yyyy")</f>
        <v>$ indicates as on August 31, 2024</v>
      </c>
      <c r="B18" s="360"/>
      <c r="C18" s="360"/>
      <c r="D18" s="360"/>
      <c r="E18" s="360"/>
      <c r="F18" s="360"/>
    </row>
    <row r="19" spans="1:6" s="330" customFormat="1">
      <c r="A19" s="1293" t="s">
        <v>305</v>
      </c>
      <c r="B19" s="1293"/>
      <c r="C19" s="1293"/>
      <c r="D19" s="1293"/>
      <c r="E19" s="1293"/>
    </row>
    <row r="20" spans="1:6" s="330" customFormat="1">
      <c r="A20" s="419"/>
    </row>
    <row r="21" spans="1:6" s="330" customFormat="1">
      <c r="A21" s="92"/>
      <c r="B21" s="92"/>
      <c r="C21" s="92"/>
      <c r="D21" s="92"/>
      <c r="E21" s="92"/>
    </row>
  </sheetData>
  <mergeCells count="3">
    <mergeCell ref="A2:A3"/>
    <mergeCell ref="B2:F2"/>
    <mergeCell ref="A19:E19"/>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20"/>
  <sheetViews>
    <sheetView workbookViewId="0"/>
  </sheetViews>
  <sheetFormatPr defaultColWidth="9.140625" defaultRowHeight="15"/>
  <cols>
    <col min="1" max="6" width="14.5703125" style="92" bestFit="1" customWidth="1"/>
    <col min="7" max="7" width="4.5703125" style="92" bestFit="1" customWidth="1"/>
    <col min="8" max="16384" width="9.140625" style="92"/>
  </cols>
  <sheetData>
    <row r="1" spans="1:6" ht="21" customHeight="1">
      <c r="A1" s="485" t="s">
        <v>19</v>
      </c>
      <c r="B1" s="485"/>
      <c r="C1" s="485"/>
      <c r="D1" s="485"/>
      <c r="E1" s="485"/>
    </row>
    <row r="2" spans="1:6" s="330" customFormat="1" ht="18.75" customHeight="1">
      <c r="A2" s="1338" t="s">
        <v>116</v>
      </c>
      <c r="B2" s="1330" t="s">
        <v>301</v>
      </c>
      <c r="C2" s="1340"/>
      <c r="D2" s="1340"/>
      <c r="E2" s="1340"/>
      <c r="F2" s="1331"/>
    </row>
    <row r="3" spans="1:6" s="330" customFormat="1" ht="18" customHeight="1">
      <c r="A3" s="1339"/>
      <c r="B3" s="607" t="s">
        <v>302</v>
      </c>
      <c r="C3" s="607" t="s">
        <v>303</v>
      </c>
      <c r="D3" s="607" t="s">
        <v>80</v>
      </c>
      <c r="E3" s="607" t="s">
        <v>304</v>
      </c>
      <c r="F3" s="607" t="s">
        <v>300</v>
      </c>
    </row>
    <row r="4" spans="1:6" s="97" customFormat="1" ht="18" customHeight="1">
      <c r="A4" s="530" t="s">
        <v>518</v>
      </c>
      <c r="B4" s="611">
        <v>0</v>
      </c>
      <c r="C4" s="611">
        <v>0</v>
      </c>
      <c r="D4" s="611">
        <v>0</v>
      </c>
      <c r="E4" s="611">
        <v>0</v>
      </c>
      <c r="F4" s="611">
        <v>100</v>
      </c>
    </row>
    <row r="5" spans="1:6" s="97" customFormat="1" ht="18" customHeight="1">
      <c r="A5" s="531" t="s">
        <v>743</v>
      </c>
      <c r="B5" s="612">
        <v>0.41786769864788265</v>
      </c>
      <c r="C5" s="612">
        <v>0</v>
      </c>
      <c r="D5" s="612">
        <v>0</v>
      </c>
      <c r="E5" s="612">
        <v>0</v>
      </c>
      <c r="F5" s="612">
        <v>99.653214352635104</v>
      </c>
    </row>
    <row r="6" spans="1:6" s="330" customFormat="1" ht="18" customHeight="1">
      <c r="A6" s="174">
        <v>45412</v>
      </c>
      <c r="B6" s="303">
        <v>0</v>
      </c>
      <c r="C6" s="303">
        <v>0</v>
      </c>
      <c r="D6" s="303">
        <v>0</v>
      </c>
      <c r="E6" s="303">
        <v>0</v>
      </c>
      <c r="F6" s="303">
        <v>100</v>
      </c>
    </row>
    <row r="7" spans="1:6" s="330" customFormat="1" ht="18" customHeight="1">
      <c r="A7" s="174">
        <v>45443</v>
      </c>
      <c r="B7" s="303">
        <v>0.74177162768797822</v>
      </c>
      <c r="C7" s="303">
        <v>0</v>
      </c>
      <c r="D7" s="303">
        <v>0</v>
      </c>
      <c r="E7" s="303">
        <v>0</v>
      </c>
      <c r="F7" s="303">
        <v>99.258228372312018</v>
      </c>
    </row>
    <row r="8" spans="1:6" s="330" customFormat="1" ht="18" customHeight="1">
      <c r="A8" s="174">
        <v>45473</v>
      </c>
      <c r="B8" s="303">
        <v>0</v>
      </c>
      <c r="C8" s="303">
        <v>0</v>
      </c>
      <c r="D8" s="303">
        <v>0</v>
      </c>
      <c r="E8" s="303">
        <v>0</v>
      </c>
      <c r="F8" s="303">
        <v>100</v>
      </c>
    </row>
    <row r="9" spans="1:6" s="330" customFormat="1" ht="18" customHeight="1">
      <c r="A9" s="174">
        <v>45504</v>
      </c>
      <c r="B9" s="303">
        <v>0</v>
      </c>
      <c r="C9" s="303">
        <v>0</v>
      </c>
      <c r="D9" s="303">
        <v>0</v>
      </c>
      <c r="E9" s="303">
        <v>0</v>
      </c>
      <c r="F9" s="303">
        <v>100</v>
      </c>
    </row>
    <row r="10" spans="1:6" s="330" customFormat="1" ht="18" customHeight="1">
      <c r="A10" s="174">
        <v>45535</v>
      </c>
      <c r="B10" s="303">
        <v>0</v>
      </c>
      <c r="C10" s="303">
        <v>0</v>
      </c>
      <c r="D10" s="303">
        <v>0</v>
      </c>
      <c r="E10" s="303">
        <v>0</v>
      </c>
      <c r="F10" s="303">
        <v>100</v>
      </c>
    </row>
    <row r="11" spans="1:6" s="330" customFormat="1" ht="18" customHeight="1">
      <c r="A11" s="174">
        <v>45565</v>
      </c>
      <c r="B11" s="303"/>
      <c r="C11" s="303"/>
      <c r="D11" s="303"/>
      <c r="E11" s="303"/>
      <c r="F11" s="303"/>
    </row>
    <row r="12" spans="1:6" s="330" customFormat="1" ht="18" customHeight="1">
      <c r="A12" s="174">
        <v>45596</v>
      </c>
      <c r="B12" s="303"/>
      <c r="C12" s="303"/>
      <c r="D12" s="303"/>
      <c r="E12" s="303"/>
      <c r="F12" s="303"/>
    </row>
    <row r="13" spans="1:6" s="330" customFormat="1" ht="18" customHeight="1">
      <c r="A13" s="174">
        <v>45626</v>
      </c>
      <c r="B13" s="303"/>
      <c r="C13" s="303"/>
      <c r="D13" s="303"/>
      <c r="E13" s="303"/>
      <c r="F13" s="303"/>
    </row>
    <row r="14" spans="1:6" s="330" customFormat="1">
      <c r="A14" s="174">
        <v>45657</v>
      </c>
      <c r="B14" s="303"/>
      <c r="C14" s="303"/>
      <c r="D14" s="303"/>
      <c r="E14" s="303"/>
      <c r="F14" s="303"/>
    </row>
    <row r="15" spans="1:6" s="330" customFormat="1">
      <c r="A15" s="174">
        <v>45688</v>
      </c>
      <c r="B15" s="303"/>
      <c r="C15" s="303"/>
      <c r="D15" s="303"/>
      <c r="E15" s="303"/>
      <c r="F15" s="303"/>
    </row>
    <row r="16" spans="1:6" s="330" customFormat="1">
      <c r="A16" s="174">
        <v>45716</v>
      </c>
      <c r="B16" s="303"/>
      <c r="C16" s="303"/>
      <c r="D16" s="303"/>
      <c r="E16" s="303"/>
      <c r="F16" s="303"/>
    </row>
    <row r="17" spans="1:6" s="330" customFormat="1">
      <c r="A17" s="174">
        <v>45747</v>
      </c>
      <c r="B17" s="303"/>
      <c r="C17" s="303"/>
      <c r="D17" s="303"/>
      <c r="E17" s="303"/>
      <c r="F17" s="303"/>
    </row>
    <row r="18" spans="1:6" s="330" customFormat="1">
      <c r="A18" s="743" t="str">
        <f>"$ indicates as on "&amp;TEXT(IF(COUNT(B6:B17)=1,A6,IF(COUNT(B6:B17)=2,A7,IF(COUNT(B6:B17)=3,A8,IF(COUNT(B6:B17)=4,A9,IF(COUNT(B6:B17)=5,A10,IF(COUNT(B6:B17)=6,A11,IF(COUNT(B6:B17)=7,A12,IF(COUNT(B6:B17)=8,A13,IF(COUNT(B6:B17)=9,A14,IF(COUNT(B6:B17)=10,A15,IF(COUNT(B6:B17)=11,A16,A17))))))))))),"mmmm dd, yyyy")</f>
        <v>$ indicates as on August 31, 2024</v>
      </c>
      <c r="B18" s="361"/>
      <c r="C18" s="361"/>
      <c r="D18" s="361"/>
      <c r="E18" s="361"/>
      <c r="F18" s="361"/>
    </row>
    <row r="19" spans="1:6" s="330" customFormat="1">
      <c r="A19" s="1341" t="s">
        <v>308</v>
      </c>
      <c r="B19" s="1341"/>
      <c r="C19" s="1341"/>
      <c r="D19" s="1341"/>
      <c r="E19" s="1341"/>
      <c r="F19" s="1341"/>
    </row>
    <row r="20" spans="1:6" s="330" customFormat="1">
      <c r="A20" s="419"/>
      <c r="B20" s="92"/>
      <c r="C20" s="92"/>
      <c r="D20" s="92"/>
      <c r="E20" s="92"/>
      <c r="F20" s="92"/>
    </row>
  </sheetData>
  <mergeCells count="3">
    <mergeCell ref="A2:A3"/>
    <mergeCell ref="B2:F2"/>
    <mergeCell ref="A19:F19"/>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40"/>
  <sheetViews>
    <sheetView workbookViewId="0"/>
  </sheetViews>
  <sheetFormatPr defaultColWidth="9.140625" defaultRowHeight="15"/>
  <cols>
    <col min="1" max="1" width="6.42578125" style="142" bestFit="1" customWidth="1"/>
    <col min="2" max="2" width="20.5703125" style="142" bestFit="1" customWidth="1"/>
    <col min="3" max="3" width="10" style="142" bestFit="1" customWidth="1"/>
    <col min="4" max="4" width="13.85546875" style="142" bestFit="1" customWidth="1"/>
    <col min="5" max="5" width="9.5703125" style="142" customWidth="1"/>
    <col min="6" max="7" width="6" style="142" bestFit="1" customWidth="1"/>
    <col min="8" max="8" width="9.5703125" style="142" bestFit="1" customWidth="1"/>
    <col min="9" max="9" width="10.5703125" style="142" bestFit="1" customWidth="1"/>
    <col min="10" max="11" width="10" style="142" bestFit="1" customWidth="1"/>
    <col min="12" max="16384" width="9.140625" style="142"/>
  </cols>
  <sheetData>
    <row r="1" spans="1:11" ht="15.75" customHeight="1">
      <c r="A1" s="286" t="s">
        <v>914</v>
      </c>
      <c r="B1" s="286"/>
      <c r="C1" s="286"/>
      <c r="D1" s="286"/>
      <c r="E1" s="286"/>
      <c r="F1" s="286"/>
      <c r="G1" s="286"/>
      <c r="H1" s="286"/>
      <c r="I1" s="286"/>
      <c r="J1" s="286"/>
    </row>
    <row r="2" spans="1:11" s="283" customFormat="1" ht="60">
      <c r="A2" s="613" t="s">
        <v>105</v>
      </c>
      <c r="B2" s="613" t="s">
        <v>309</v>
      </c>
      <c r="C2" s="614" t="s">
        <v>310</v>
      </c>
      <c r="D2" s="614" t="s">
        <v>311</v>
      </c>
      <c r="E2" s="615" t="s">
        <v>312</v>
      </c>
      <c r="F2" s="615" t="s">
        <v>313</v>
      </c>
      <c r="G2" s="615" t="s">
        <v>314</v>
      </c>
      <c r="H2" s="616" t="s">
        <v>315</v>
      </c>
      <c r="I2" s="614" t="s">
        <v>316</v>
      </c>
      <c r="J2" s="614" t="s">
        <v>317</v>
      </c>
    </row>
    <row r="3" spans="1:11" s="283" customFormat="1" ht="15" customHeight="1">
      <c r="A3" s="293">
        <v>1</v>
      </c>
      <c r="B3" s="617" t="s">
        <v>842</v>
      </c>
      <c r="C3" s="310">
        <v>432.03</v>
      </c>
      <c r="D3" s="310">
        <v>108892.82300400001</v>
      </c>
      <c r="E3" s="310">
        <v>1.1524988190490189</v>
      </c>
      <c r="F3" s="310">
        <v>2.08</v>
      </c>
      <c r="G3" s="310">
        <v>0.43853999999999999</v>
      </c>
      <c r="H3" s="310">
        <v>2.64</v>
      </c>
      <c r="I3" s="310">
        <v>-5.5426359999999999</v>
      </c>
      <c r="J3" s="618">
        <v>0.03</v>
      </c>
      <c r="K3" s="143"/>
    </row>
    <row r="4" spans="1:11" s="283" customFormat="1" ht="15" customHeight="1">
      <c r="A4" s="293">
        <v>2</v>
      </c>
      <c r="B4" s="617" t="s">
        <v>331</v>
      </c>
      <c r="C4" s="310">
        <v>95.92</v>
      </c>
      <c r="D4" s="310">
        <v>140963.35440099999</v>
      </c>
      <c r="E4" s="310">
        <v>1.4919266026409572</v>
      </c>
      <c r="F4" s="310">
        <v>0.52</v>
      </c>
      <c r="G4" s="310">
        <v>0.145233</v>
      </c>
      <c r="H4" s="310">
        <v>1.1399999999999999</v>
      </c>
      <c r="I4" s="310">
        <v>1.443727</v>
      </c>
      <c r="J4" s="618">
        <v>0.03</v>
      </c>
    </row>
    <row r="5" spans="1:11" s="283" customFormat="1" ht="15" customHeight="1">
      <c r="A5" s="293">
        <v>3</v>
      </c>
      <c r="B5" s="617" t="s">
        <v>336</v>
      </c>
      <c r="C5" s="310">
        <v>618.39</v>
      </c>
      <c r="D5" s="310">
        <v>330342.12625099998</v>
      </c>
      <c r="E5" s="310">
        <v>3.4962718376070963</v>
      </c>
      <c r="F5" s="310">
        <v>1.1100000000000001</v>
      </c>
      <c r="G5" s="310">
        <v>0.37673299999999998</v>
      </c>
      <c r="H5" s="310">
        <v>1.52</v>
      </c>
      <c r="I5" s="310">
        <v>0.79746099999999998</v>
      </c>
      <c r="J5" s="618">
        <v>0.02</v>
      </c>
    </row>
    <row r="6" spans="1:11" s="283" customFormat="1" ht="15" customHeight="1">
      <c r="A6" s="293">
        <v>4</v>
      </c>
      <c r="B6" s="617" t="s">
        <v>345</v>
      </c>
      <c r="C6" s="310">
        <v>159.66999999999999</v>
      </c>
      <c r="D6" s="310">
        <v>85316.381041999994</v>
      </c>
      <c r="E6" s="310">
        <v>0.90297069801220242</v>
      </c>
      <c r="F6" s="310">
        <v>0.99</v>
      </c>
      <c r="G6" s="310">
        <v>0.37914100000000001</v>
      </c>
      <c r="H6" s="310">
        <v>1.35</v>
      </c>
      <c r="I6" s="310">
        <v>7.8116490000000001</v>
      </c>
      <c r="J6" s="618">
        <v>0.03</v>
      </c>
    </row>
    <row r="7" spans="1:11" s="283" customFormat="1" ht="15" customHeight="1">
      <c r="A7" s="293">
        <v>5</v>
      </c>
      <c r="B7" s="617" t="s">
        <v>318</v>
      </c>
      <c r="C7" s="310">
        <v>123.8</v>
      </c>
      <c r="D7" s="310">
        <v>200726.01114300001</v>
      </c>
      <c r="E7" s="310">
        <v>2.1244420377110611</v>
      </c>
      <c r="F7" s="310">
        <v>1.0900000000000001</v>
      </c>
      <c r="G7" s="310">
        <v>0.34123399999999998</v>
      </c>
      <c r="H7" s="310">
        <v>1.56</v>
      </c>
      <c r="I7" s="310">
        <v>5.8412699999999997</v>
      </c>
      <c r="J7" s="618">
        <v>0.02</v>
      </c>
    </row>
    <row r="8" spans="1:11" s="283" customFormat="1" ht="15" customHeight="1">
      <c r="A8" s="293">
        <v>6</v>
      </c>
      <c r="B8" s="617" t="s">
        <v>338</v>
      </c>
      <c r="C8" s="310">
        <v>2846.49</v>
      </c>
      <c r="D8" s="310">
        <v>423709.554772</v>
      </c>
      <c r="E8" s="310">
        <v>4.4844531349561736</v>
      </c>
      <c r="F8" s="310">
        <v>0.81</v>
      </c>
      <c r="G8" s="310">
        <v>0.256689</v>
      </c>
      <c r="H8" s="310">
        <v>1.34</v>
      </c>
      <c r="I8" s="310">
        <v>6.4337859999999996</v>
      </c>
      <c r="J8" s="618">
        <v>0.03</v>
      </c>
    </row>
    <row r="9" spans="1:11" s="283" customFormat="1" ht="15" customHeight="1">
      <c r="A9" s="293">
        <v>7</v>
      </c>
      <c r="B9" s="617" t="s">
        <v>337</v>
      </c>
      <c r="C9" s="310">
        <v>542.73</v>
      </c>
      <c r="D9" s="310">
        <v>185435.17705999999</v>
      </c>
      <c r="E9" s="310">
        <v>1.9626070541301448</v>
      </c>
      <c r="F9" s="310">
        <v>0.68</v>
      </c>
      <c r="G9" s="310">
        <v>0.16101699999999999</v>
      </c>
      <c r="H9" s="310">
        <v>1.43</v>
      </c>
      <c r="I9" s="310">
        <v>6.7115320000000001</v>
      </c>
      <c r="J9" s="618">
        <v>0.03</v>
      </c>
    </row>
    <row r="10" spans="1:11" s="283" customFormat="1" ht="15" customHeight="1">
      <c r="A10" s="293">
        <v>8</v>
      </c>
      <c r="B10" s="617" t="s">
        <v>321</v>
      </c>
      <c r="C10" s="310">
        <v>761.94</v>
      </c>
      <c r="D10" s="310">
        <v>1229138.228865</v>
      </c>
      <c r="E10" s="310">
        <v>13.008941435588268</v>
      </c>
      <c r="F10" s="310">
        <v>1.07</v>
      </c>
      <c r="G10" s="310">
        <v>0.42604700000000001</v>
      </c>
      <c r="H10" s="310">
        <v>1.37</v>
      </c>
      <c r="I10" s="310">
        <v>0.98327200000000003</v>
      </c>
      <c r="J10" s="618">
        <v>0.01</v>
      </c>
    </row>
    <row r="11" spans="1:11" s="283" customFormat="1" ht="15" customHeight="1">
      <c r="A11" s="293">
        <v>9</v>
      </c>
      <c r="B11" s="617" t="s">
        <v>329</v>
      </c>
      <c r="C11" s="310">
        <v>234.96</v>
      </c>
      <c r="D11" s="310">
        <v>248041.15276999999</v>
      </c>
      <c r="E11" s="310">
        <v>2.6252155813104543</v>
      </c>
      <c r="F11" s="310">
        <v>0.18</v>
      </c>
      <c r="G11" s="310">
        <v>1.9578999999999999E-2</v>
      </c>
      <c r="H11" s="310">
        <v>1.1000000000000001</v>
      </c>
      <c r="I11" s="310">
        <v>2.6625519999999998</v>
      </c>
      <c r="J11" s="618">
        <v>0.02</v>
      </c>
    </row>
    <row r="12" spans="1:11" s="283" customFormat="1" ht="15" customHeight="1">
      <c r="A12" s="293">
        <v>10</v>
      </c>
      <c r="B12" s="617" t="s">
        <v>334</v>
      </c>
      <c r="C12" s="310">
        <v>1408.57</v>
      </c>
      <c r="D12" s="310">
        <v>864696.42292499996</v>
      </c>
      <c r="E12" s="310">
        <v>9.151765734095866</v>
      </c>
      <c r="F12" s="310">
        <v>1.02</v>
      </c>
      <c r="G12" s="310">
        <v>0.47203699999999998</v>
      </c>
      <c r="H12" s="310">
        <v>1.24</v>
      </c>
      <c r="I12" s="310">
        <v>1.263582</v>
      </c>
      <c r="J12" s="618">
        <v>0.02</v>
      </c>
    </row>
    <row r="13" spans="1:11" s="283" customFormat="1" ht="15" customHeight="1">
      <c r="A13" s="293">
        <v>11</v>
      </c>
      <c r="B13" s="617" t="s">
        <v>335</v>
      </c>
      <c r="C13" s="310">
        <v>778.83</v>
      </c>
      <c r="D13" s="310">
        <v>94377.853394999998</v>
      </c>
      <c r="E13" s="310">
        <v>0.99887542247043615</v>
      </c>
      <c r="F13" s="310">
        <v>1.23</v>
      </c>
      <c r="G13" s="310">
        <v>0.41959600000000002</v>
      </c>
      <c r="H13" s="310">
        <v>1.6</v>
      </c>
      <c r="I13" s="310">
        <v>-0.115534</v>
      </c>
      <c r="J13" s="618">
        <v>0.02</v>
      </c>
    </row>
    <row r="14" spans="1:11" s="283" customFormat="1" ht="15" customHeight="1">
      <c r="A14" s="293">
        <v>12</v>
      </c>
      <c r="B14" s="617" t="s">
        <v>322</v>
      </c>
      <c r="C14" s="310">
        <v>2076.06</v>
      </c>
      <c r="D14" s="310">
        <v>701886.29232799995</v>
      </c>
      <c r="E14" s="310">
        <v>7.4286174304159589</v>
      </c>
      <c r="F14" s="310">
        <v>0.8</v>
      </c>
      <c r="G14" s="310">
        <v>0.233926</v>
      </c>
      <c r="H14" s="310">
        <v>1.39</v>
      </c>
      <c r="I14" s="310">
        <v>4.0282640000000001</v>
      </c>
      <c r="J14" s="618">
        <v>0.02</v>
      </c>
    </row>
    <row r="15" spans="1:11" s="283" customFormat="1" ht="15" customHeight="1">
      <c r="A15" s="293">
        <v>13</v>
      </c>
      <c r="B15" s="617" t="s">
        <v>332</v>
      </c>
      <c r="C15" s="310">
        <v>1250.55</v>
      </c>
      <c r="D15" s="310">
        <v>463643.83530500002</v>
      </c>
      <c r="E15" s="310">
        <v>4.9071091914729932</v>
      </c>
      <c r="F15" s="310">
        <v>0.65</v>
      </c>
      <c r="G15" s="310">
        <v>0.20849000000000001</v>
      </c>
      <c r="H15" s="310">
        <v>1.19</v>
      </c>
      <c r="I15" s="310">
        <v>1.3735980000000001</v>
      </c>
      <c r="J15" s="618">
        <v>0.02</v>
      </c>
    </row>
    <row r="16" spans="1:11" s="283" customFormat="1" ht="15" customHeight="1">
      <c r="A16" s="293">
        <v>14</v>
      </c>
      <c r="B16" s="617" t="s">
        <v>675</v>
      </c>
      <c r="C16" s="310">
        <v>244.55</v>
      </c>
      <c r="D16" s="310">
        <v>89740.947711000001</v>
      </c>
      <c r="E16" s="310">
        <v>0.94979938442286538</v>
      </c>
      <c r="F16" s="310">
        <v>1.36</v>
      </c>
      <c r="G16" s="310">
        <v>0.48732599999999998</v>
      </c>
      <c r="H16" s="310">
        <v>1.63</v>
      </c>
      <c r="I16" s="310">
        <v>1.4227970000000001</v>
      </c>
      <c r="J16" s="618">
        <v>0.04</v>
      </c>
    </row>
    <row r="17" spans="1:10" s="283" customFormat="1" ht="15" customHeight="1">
      <c r="A17" s="293">
        <v>15</v>
      </c>
      <c r="B17" s="617" t="s">
        <v>323</v>
      </c>
      <c r="C17" s="310">
        <v>994.06</v>
      </c>
      <c r="D17" s="310">
        <v>262026.799593</v>
      </c>
      <c r="E17" s="310">
        <v>2.773236736447116</v>
      </c>
      <c r="F17" s="310">
        <v>0.88</v>
      </c>
      <c r="G17" s="310">
        <v>0.26678299999999999</v>
      </c>
      <c r="H17" s="310">
        <v>1.42</v>
      </c>
      <c r="I17" s="310">
        <v>-1.408684</v>
      </c>
      <c r="J17" s="618">
        <v>0.02</v>
      </c>
    </row>
    <row r="18" spans="1:10" s="283" customFormat="1" ht="15" customHeight="1">
      <c r="A18" s="293">
        <v>16</v>
      </c>
      <c r="B18" s="617" t="s">
        <v>326</v>
      </c>
      <c r="C18" s="310">
        <v>275</v>
      </c>
      <c r="D18" s="310">
        <v>432722.38067899999</v>
      </c>
      <c r="E18" s="310">
        <v>4.579842995624313</v>
      </c>
      <c r="F18" s="310">
        <v>1.4</v>
      </c>
      <c r="G18" s="310">
        <v>0.47159600000000002</v>
      </c>
      <c r="H18" s="310">
        <v>1.71</v>
      </c>
      <c r="I18" s="310">
        <v>-2.8707820000000002</v>
      </c>
      <c r="J18" s="618">
        <v>0.02</v>
      </c>
    </row>
    <row r="19" spans="1:10" s="283" customFormat="1" ht="15" customHeight="1">
      <c r="A19" s="293">
        <v>17</v>
      </c>
      <c r="B19" s="617" t="s">
        <v>327</v>
      </c>
      <c r="C19" s="310">
        <v>621.76</v>
      </c>
      <c r="D19" s="310">
        <v>247752.13761000001</v>
      </c>
      <c r="E19" s="310">
        <v>2.6221567054231509</v>
      </c>
      <c r="F19" s="310">
        <v>1.1299999999999999</v>
      </c>
      <c r="G19" s="310">
        <v>0.26894200000000001</v>
      </c>
      <c r="H19" s="310">
        <v>1.83</v>
      </c>
      <c r="I19" s="310">
        <v>-3.4775719999999999</v>
      </c>
      <c r="J19" s="618">
        <v>0.02</v>
      </c>
    </row>
    <row r="20" spans="1:10" s="283" customFormat="1" ht="15" customHeight="1">
      <c r="A20" s="293">
        <v>18</v>
      </c>
      <c r="B20" s="617" t="s">
        <v>339</v>
      </c>
      <c r="C20" s="310">
        <v>157.19999999999999</v>
      </c>
      <c r="D20" s="310">
        <v>164021.68707799999</v>
      </c>
      <c r="E20" s="310">
        <v>1.7359711635805311</v>
      </c>
      <c r="F20" s="310">
        <v>0.77</v>
      </c>
      <c r="G20" s="310">
        <v>0.23685</v>
      </c>
      <c r="H20" s="310">
        <v>1.33</v>
      </c>
      <c r="I20" s="310">
        <v>-5.6705860000000001</v>
      </c>
      <c r="J20" s="618">
        <v>0.02</v>
      </c>
    </row>
    <row r="21" spans="1:10" s="283" customFormat="1" ht="15" customHeight="1">
      <c r="A21" s="293">
        <v>19</v>
      </c>
      <c r="B21" s="617" t="s">
        <v>330</v>
      </c>
      <c r="C21" s="310">
        <v>96.42</v>
      </c>
      <c r="D21" s="310">
        <v>89334.352497999993</v>
      </c>
      <c r="E21" s="310">
        <v>0.94549606589473545</v>
      </c>
      <c r="F21" s="310">
        <v>0.27</v>
      </c>
      <c r="G21" s="310">
        <v>3.4861999999999997E-2</v>
      </c>
      <c r="H21" s="310">
        <v>1.21</v>
      </c>
      <c r="I21" s="310">
        <v>1.956313</v>
      </c>
      <c r="J21" s="618">
        <v>0.04</v>
      </c>
    </row>
    <row r="22" spans="1:10" s="283" customFormat="1" ht="15" customHeight="1">
      <c r="A22" s="293">
        <v>20</v>
      </c>
      <c r="B22" s="617" t="s">
        <v>342</v>
      </c>
      <c r="C22" s="310">
        <v>9696.67</v>
      </c>
      <c r="D22" s="310">
        <v>197846.894398</v>
      </c>
      <c r="E22" s="310">
        <v>2.0939700694308847</v>
      </c>
      <c r="F22" s="310">
        <v>1.56</v>
      </c>
      <c r="G22" s="310">
        <v>0.41970200000000002</v>
      </c>
      <c r="H22" s="310">
        <v>2.0299999999999998</v>
      </c>
      <c r="I22" s="310">
        <v>8.4124000000000004E-2</v>
      </c>
      <c r="J22" s="618">
        <v>0.03</v>
      </c>
    </row>
    <row r="23" spans="1:10" s="283" customFormat="1" ht="15" customHeight="1">
      <c r="A23" s="293">
        <v>21</v>
      </c>
      <c r="B23" s="617" t="s">
        <v>344</v>
      </c>
      <c r="C23" s="310">
        <v>9300.6</v>
      </c>
      <c r="D23" s="310">
        <v>153763.16568999999</v>
      </c>
      <c r="E23" s="310">
        <v>1.6273971229899515</v>
      </c>
      <c r="F23" s="310">
        <v>1.24</v>
      </c>
      <c r="G23" s="310">
        <v>0.29705399999999998</v>
      </c>
      <c r="H23" s="310">
        <v>1.91</v>
      </c>
      <c r="I23" s="310">
        <v>-3.2128510000000001</v>
      </c>
      <c r="J23" s="618">
        <v>0.03</v>
      </c>
    </row>
    <row r="24" spans="1:10" s="283" customFormat="1" ht="15" customHeight="1">
      <c r="A24" s="293">
        <v>22</v>
      </c>
      <c r="B24" s="617" t="s">
        <v>324</v>
      </c>
      <c r="C24" s="310">
        <v>6765.82</v>
      </c>
      <c r="D24" s="310">
        <v>1021534.769863</v>
      </c>
      <c r="E24" s="310">
        <v>10.811709930978388</v>
      </c>
      <c r="F24" s="310">
        <v>1.17</v>
      </c>
      <c r="G24" s="310">
        <v>0.54711600000000005</v>
      </c>
      <c r="H24" s="310">
        <v>1.33</v>
      </c>
      <c r="I24" s="310">
        <v>0.31558799999999998</v>
      </c>
      <c r="J24" s="618">
        <v>0.02</v>
      </c>
    </row>
    <row r="25" spans="1:10" s="283" customFormat="1" ht="15" customHeight="1">
      <c r="A25" s="293">
        <v>23</v>
      </c>
      <c r="B25" s="617" t="s">
        <v>319</v>
      </c>
      <c r="C25" s="310">
        <v>892.46</v>
      </c>
      <c r="D25" s="310">
        <v>313012.47044499998</v>
      </c>
      <c r="E25" s="310">
        <v>3.3128583921662766</v>
      </c>
      <c r="F25" s="310">
        <v>1.5</v>
      </c>
      <c r="G25" s="310">
        <v>0.49193500000000001</v>
      </c>
      <c r="H25" s="310">
        <v>1.79</v>
      </c>
      <c r="I25" s="310">
        <v>-6.5425370000000003</v>
      </c>
      <c r="J25" s="618">
        <v>0.02</v>
      </c>
    </row>
    <row r="26" spans="1:10" s="283" customFormat="1" ht="15" customHeight="1">
      <c r="A26" s="293">
        <v>24</v>
      </c>
      <c r="B26" s="617" t="s">
        <v>333</v>
      </c>
      <c r="C26" s="310">
        <v>239.93</v>
      </c>
      <c r="D26" s="310">
        <v>196581.67996499999</v>
      </c>
      <c r="E26" s="310">
        <v>2.0805793050108758</v>
      </c>
      <c r="F26" s="310">
        <v>0.42</v>
      </c>
      <c r="G26" s="310">
        <v>9.0541999999999997E-2</v>
      </c>
      <c r="H26" s="310">
        <v>1.17</v>
      </c>
      <c r="I26" s="310">
        <v>5.9900450000000003</v>
      </c>
      <c r="J26" s="618">
        <v>0.03</v>
      </c>
    </row>
    <row r="27" spans="1:10" s="283" customFormat="1" ht="15" customHeight="1">
      <c r="A27" s="293">
        <v>25</v>
      </c>
      <c r="B27" s="617" t="s">
        <v>328</v>
      </c>
      <c r="C27" s="310">
        <v>664.93</v>
      </c>
      <c r="D27" s="310">
        <v>232688.204138</v>
      </c>
      <c r="E27" s="310">
        <v>2.4627231903596725</v>
      </c>
      <c r="F27" s="310">
        <v>1.04</v>
      </c>
      <c r="G27" s="310">
        <v>0.24470900000000001</v>
      </c>
      <c r="H27" s="310">
        <v>1.76</v>
      </c>
      <c r="I27" s="310">
        <v>-4.0601890000000003</v>
      </c>
      <c r="J27" s="618">
        <v>0.02</v>
      </c>
    </row>
    <row r="28" spans="1:10" s="283" customFormat="1" ht="15" customHeight="1">
      <c r="A28" s="293">
        <v>26</v>
      </c>
      <c r="B28" s="617" t="s">
        <v>325</v>
      </c>
      <c r="C28" s="310">
        <v>1248.3399999999999</v>
      </c>
      <c r="D28" s="310">
        <v>125893.025966</v>
      </c>
      <c r="E28" s="310">
        <v>1.3324254046292172</v>
      </c>
      <c r="F28" s="310">
        <v>1.52</v>
      </c>
      <c r="G28" s="310">
        <v>0.477906</v>
      </c>
      <c r="H28" s="310">
        <v>1.84</v>
      </c>
      <c r="I28" s="310">
        <v>-7.5899599999999996</v>
      </c>
      <c r="J28" s="618">
        <v>0.03</v>
      </c>
    </row>
    <row r="29" spans="1:10" s="283" customFormat="1" ht="15" customHeight="1">
      <c r="A29" s="293">
        <v>27</v>
      </c>
      <c r="B29" s="617" t="s">
        <v>341</v>
      </c>
      <c r="C29" s="310">
        <v>361.81</v>
      </c>
      <c r="D29" s="310">
        <v>461131.82815800002</v>
      </c>
      <c r="E29" s="310">
        <v>4.8805226342464092</v>
      </c>
      <c r="F29" s="310">
        <v>0.63</v>
      </c>
      <c r="G29" s="310">
        <v>0.16839199999999999</v>
      </c>
      <c r="H29" s="310">
        <v>1.29</v>
      </c>
      <c r="I29" s="310">
        <v>3.8133029999999999</v>
      </c>
      <c r="J29" s="618">
        <v>0.02</v>
      </c>
    </row>
    <row r="30" spans="1:10" s="283" customFormat="1" ht="15" customHeight="1">
      <c r="A30" s="293">
        <v>28</v>
      </c>
      <c r="B30" s="617" t="s">
        <v>343</v>
      </c>
      <c r="C30" s="310">
        <v>489.11</v>
      </c>
      <c r="D30" s="310">
        <v>103854.077041</v>
      </c>
      <c r="E30" s="310">
        <v>1.0991697876983282</v>
      </c>
      <c r="F30" s="310">
        <v>0.92</v>
      </c>
      <c r="G30" s="310">
        <v>0.23702400000000001</v>
      </c>
      <c r="H30" s="310">
        <v>1.58</v>
      </c>
      <c r="I30" s="310">
        <v>5.2641739999999997</v>
      </c>
      <c r="J30" s="618">
        <v>0.04</v>
      </c>
    </row>
    <row r="31" spans="1:10" s="283" customFormat="1" ht="15" customHeight="1">
      <c r="A31" s="293">
        <v>29</v>
      </c>
      <c r="B31" s="617" t="s">
        <v>320</v>
      </c>
      <c r="C31" s="310">
        <v>88.78</v>
      </c>
      <c r="D31" s="310">
        <v>148842.694005</v>
      </c>
      <c r="E31" s="310">
        <v>1.575319881812006</v>
      </c>
      <c r="F31" s="310">
        <v>0.68</v>
      </c>
      <c r="G31" s="310">
        <v>0.163299</v>
      </c>
      <c r="H31" s="310">
        <v>1.41</v>
      </c>
      <c r="I31" s="310">
        <v>3.1609229999999999</v>
      </c>
      <c r="J31" s="618">
        <v>0.02</v>
      </c>
    </row>
    <row r="32" spans="1:10" s="283" customFormat="1" ht="15" customHeight="1">
      <c r="A32" s="293">
        <v>30</v>
      </c>
      <c r="B32" s="617" t="s">
        <v>340</v>
      </c>
      <c r="C32" s="310">
        <v>288.7</v>
      </c>
      <c r="D32" s="310">
        <v>130494.48188799999</v>
      </c>
      <c r="E32" s="310">
        <v>1.3811262498246468</v>
      </c>
      <c r="F32" s="310">
        <v>1.1299999999999999</v>
      </c>
      <c r="G32" s="310">
        <v>0.42168</v>
      </c>
      <c r="H32" s="310">
        <v>1.46</v>
      </c>
      <c r="I32" s="310">
        <v>-4.8990970000000003</v>
      </c>
      <c r="J32" s="618">
        <v>0.04</v>
      </c>
    </row>
    <row r="33" spans="1:10" s="283" customFormat="1" ht="15" customHeight="1">
      <c r="A33" s="619"/>
      <c r="B33" s="620"/>
      <c r="C33" s="621"/>
      <c r="D33" s="621"/>
      <c r="E33" s="622"/>
      <c r="F33" s="623"/>
      <c r="G33" s="624"/>
      <c r="H33" s="624"/>
      <c r="I33" s="625"/>
      <c r="J33" s="625"/>
    </row>
    <row r="34" spans="1:10" s="283" customFormat="1">
      <c r="A34" s="1324" t="s">
        <v>843</v>
      </c>
      <c r="B34" s="1324"/>
      <c r="C34" s="1324"/>
      <c r="D34" s="1324"/>
      <c r="E34" s="1324"/>
      <c r="F34" s="1324"/>
      <c r="G34" s="1324"/>
      <c r="H34" s="1324"/>
      <c r="I34" s="1324"/>
      <c r="J34" s="1324"/>
    </row>
    <row r="35" spans="1:10" s="283" customFormat="1">
      <c r="A35" s="1324" t="s">
        <v>346</v>
      </c>
      <c r="B35" s="1324"/>
      <c r="C35" s="1324"/>
      <c r="D35" s="1324"/>
      <c r="E35" s="1324"/>
      <c r="F35" s="1324"/>
      <c r="G35" s="1324"/>
      <c r="H35" s="1324"/>
      <c r="I35" s="1324"/>
      <c r="J35" s="1324"/>
    </row>
    <row r="36" spans="1:10" s="283" customFormat="1">
      <c r="A36" s="1324" t="s">
        <v>347</v>
      </c>
      <c r="B36" s="1324"/>
      <c r="C36" s="1324"/>
      <c r="D36" s="1324"/>
      <c r="E36" s="1324"/>
      <c r="F36" s="1324"/>
      <c r="G36" s="1324"/>
      <c r="H36" s="1324"/>
      <c r="I36" s="1324"/>
      <c r="J36" s="1324"/>
    </row>
    <row r="37" spans="1:10" s="283" customFormat="1" ht="33" customHeight="1">
      <c r="A37" s="1324" t="s">
        <v>348</v>
      </c>
      <c r="B37" s="1324"/>
      <c r="C37" s="1324"/>
      <c r="D37" s="1324"/>
      <c r="E37" s="1324"/>
      <c r="F37" s="1324"/>
      <c r="G37" s="1324"/>
      <c r="H37" s="1324"/>
      <c r="I37" s="1324"/>
      <c r="J37" s="1324"/>
    </row>
    <row r="38" spans="1:10" s="283" customFormat="1">
      <c r="A38" s="1324" t="s">
        <v>349</v>
      </c>
      <c r="B38" s="1324"/>
      <c r="C38" s="1324"/>
      <c r="D38" s="1324"/>
      <c r="E38" s="1324"/>
      <c r="F38" s="1324"/>
      <c r="G38" s="1324"/>
      <c r="H38" s="1324"/>
      <c r="I38" s="1324"/>
      <c r="J38" s="1324"/>
    </row>
    <row r="39" spans="1:10" s="283" customFormat="1">
      <c r="A39" s="285" t="s">
        <v>305</v>
      </c>
      <c r="H39" s="284"/>
    </row>
    <row r="40" spans="1:10" s="283" customFormat="1"/>
  </sheetData>
  <mergeCells count="5">
    <mergeCell ref="A34:J34"/>
    <mergeCell ref="A35:J35"/>
    <mergeCell ref="A36:J36"/>
    <mergeCell ref="A37:J37"/>
    <mergeCell ref="A38:J38"/>
  </mergeCells>
  <printOptions horizontalCentered="1"/>
  <pageMargins left="0.78431372549019618" right="0.78431372549019618" top="0.98039215686274517" bottom="0.98039215686274517" header="0.50980392156862753" footer="0.50980392156862753"/>
  <pageSetup paperSize="9" fitToHeight="0" orientation="landscape" useFirstPageNumber="1" r:id="rId1"/>
  <headerFooter alignWithMargins="0"/>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60"/>
  <sheetViews>
    <sheetView workbookViewId="0"/>
  </sheetViews>
  <sheetFormatPr defaultColWidth="9.140625" defaultRowHeight="12"/>
  <cols>
    <col min="1" max="1" width="6.42578125" style="144" bestFit="1" customWidth="1"/>
    <col min="2" max="2" width="20.5703125" style="144" bestFit="1" customWidth="1"/>
    <col min="3" max="3" width="14.5703125" style="144" bestFit="1" customWidth="1"/>
    <col min="4" max="4" width="13.85546875" style="144" bestFit="1" customWidth="1"/>
    <col min="5" max="5" width="9.85546875" style="144" customWidth="1"/>
    <col min="6" max="6" width="7.85546875" style="144" customWidth="1"/>
    <col min="7" max="7" width="9" style="144" customWidth="1"/>
    <col min="8" max="8" width="9.5703125" style="144" bestFit="1" customWidth="1"/>
    <col min="9" max="9" width="10.5703125" style="144" bestFit="1" customWidth="1"/>
    <col min="10" max="10" width="11.5703125" style="144" customWidth="1"/>
    <col min="11" max="11" width="30.42578125" style="144" bestFit="1" customWidth="1"/>
    <col min="12" max="12" width="4.5703125" style="144" bestFit="1" customWidth="1"/>
    <col min="13" max="16384" width="9.140625" style="144"/>
  </cols>
  <sheetData>
    <row r="1" spans="1:11">
      <c r="A1" s="294" t="s">
        <v>915</v>
      </c>
      <c r="B1" s="294"/>
      <c r="C1" s="294"/>
      <c r="D1" s="294"/>
      <c r="E1" s="294"/>
      <c r="F1" s="294"/>
      <c r="G1" s="294"/>
      <c r="H1" s="294"/>
      <c r="I1" s="294"/>
      <c r="J1" s="294"/>
      <c r="K1" s="294"/>
    </row>
    <row r="2" spans="1:11" s="145" customFormat="1" ht="48">
      <c r="A2" s="626" t="s">
        <v>350</v>
      </c>
      <c r="B2" s="626" t="s">
        <v>309</v>
      </c>
      <c r="C2" s="627" t="s">
        <v>310</v>
      </c>
      <c r="D2" s="627" t="s">
        <v>311</v>
      </c>
      <c r="E2" s="626" t="s">
        <v>312</v>
      </c>
      <c r="F2" s="626" t="s">
        <v>313</v>
      </c>
      <c r="G2" s="626" t="s">
        <v>314</v>
      </c>
      <c r="H2" s="627" t="s">
        <v>315</v>
      </c>
      <c r="I2" s="627" t="s">
        <v>316</v>
      </c>
      <c r="J2" s="627" t="s">
        <v>317</v>
      </c>
    </row>
    <row r="3" spans="1:11" s="145" customFormat="1" ht="15">
      <c r="A3" s="293">
        <v>1</v>
      </c>
      <c r="B3" s="617" t="s">
        <v>351</v>
      </c>
      <c r="C3" s="310">
        <v>114</v>
      </c>
      <c r="D3" s="310">
        <v>79167.434850000005</v>
      </c>
      <c r="E3" s="310">
        <v>0.70739286999999995</v>
      </c>
      <c r="F3" s="310">
        <v>2.0718939999999999</v>
      </c>
      <c r="G3" s="310">
        <v>0.44702820999999998</v>
      </c>
      <c r="H3" s="310">
        <v>1.59802022</v>
      </c>
      <c r="I3" s="310">
        <v>-4.7343345699999997</v>
      </c>
      <c r="J3" s="618">
        <v>0.02</v>
      </c>
      <c r="K3" s="331"/>
    </row>
    <row r="4" spans="1:11" s="145" customFormat="1" ht="25.5">
      <c r="A4" s="293">
        <v>2</v>
      </c>
      <c r="B4" s="617" t="s">
        <v>352</v>
      </c>
      <c r="C4" s="310">
        <v>432.03</v>
      </c>
      <c r="D4" s="310">
        <v>108837.73669999999</v>
      </c>
      <c r="E4" s="310">
        <v>0.97250895000000004</v>
      </c>
      <c r="F4" s="310">
        <v>2.1052034900000001</v>
      </c>
      <c r="G4" s="310">
        <v>0.46801227000000001</v>
      </c>
      <c r="H4" s="310">
        <v>1.7588095800000001</v>
      </c>
      <c r="I4" s="310">
        <v>-5.6054525799999997</v>
      </c>
      <c r="J4" s="618">
        <v>0.03</v>
      </c>
      <c r="K4" s="331"/>
    </row>
    <row r="5" spans="1:11" s="145" customFormat="1" ht="25.5">
      <c r="A5" s="293">
        <v>3</v>
      </c>
      <c r="B5" s="617" t="s">
        <v>353</v>
      </c>
      <c r="C5" s="310">
        <v>71.89</v>
      </c>
      <c r="D5" s="310">
        <v>69724.774799999999</v>
      </c>
      <c r="E5" s="310">
        <v>0.62301890999999998</v>
      </c>
      <c r="F5" s="310">
        <v>0.54871681999999999</v>
      </c>
      <c r="G5" s="310">
        <v>0.10719739</v>
      </c>
      <c r="H5" s="310">
        <v>1.1732680799999999</v>
      </c>
      <c r="I5" s="310">
        <v>4.7193626899999996</v>
      </c>
      <c r="J5" s="618">
        <v>0.01</v>
      </c>
      <c r="K5" s="331"/>
    </row>
    <row r="6" spans="1:11" s="145" customFormat="1" ht="15">
      <c r="A6" s="293">
        <v>4</v>
      </c>
      <c r="B6" s="617" t="s">
        <v>354</v>
      </c>
      <c r="C6" s="310">
        <v>95.92</v>
      </c>
      <c r="D6" s="310">
        <v>140963.3235</v>
      </c>
      <c r="E6" s="310">
        <v>1.25956399</v>
      </c>
      <c r="F6" s="310">
        <v>0.54091317000000005</v>
      </c>
      <c r="G6" s="310">
        <v>0.15615783999999999</v>
      </c>
      <c r="H6" s="310">
        <v>1.0126371300000001</v>
      </c>
      <c r="I6" s="310">
        <v>1.37301626</v>
      </c>
      <c r="J6" s="618">
        <v>0.02</v>
      </c>
      <c r="K6" s="331"/>
    </row>
    <row r="7" spans="1:11" s="145" customFormat="1" ht="15">
      <c r="A7" s="293">
        <v>5</v>
      </c>
      <c r="B7" s="617" t="s">
        <v>355</v>
      </c>
      <c r="C7" s="310">
        <v>618.01</v>
      </c>
      <c r="D7" s="310">
        <v>334104.88760000002</v>
      </c>
      <c r="E7" s="310">
        <v>2.9853615499999999</v>
      </c>
      <c r="F7" s="310">
        <v>1.1029843800000001</v>
      </c>
      <c r="G7" s="310">
        <v>0.36515652999999998</v>
      </c>
      <c r="H7" s="310">
        <v>0.95586448000000002</v>
      </c>
      <c r="I7" s="310">
        <v>0.78466683999999998</v>
      </c>
      <c r="J7" s="618">
        <v>0.02</v>
      </c>
      <c r="K7" s="331"/>
    </row>
    <row r="8" spans="1:11" s="145" customFormat="1" ht="15">
      <c r="A8" s="293">
        <v>6</v>
      </c>
      <c r="B8" s="617" t="s">
        <v>356</v>
      </c>
      <c r="C8" s="310">
        <v>279.18</v>
      </c>
      <c r="D8" s="310">
        <v>121628.01089999999</v>
      </c>
      <c r="E8" s="310">
        <v>1.0867952000000001</v>
      </c>
      <c r="F8" s="310">
        <v>0.53359137999999995</v>
      </c>
      <c r="G8" s="310">
        <v>8.5418599999999997E-2</v>
      </c>
      <c r="H8" s="310">
        <v>1.4387428499999999</v>
      </c>
      <c r="I8" s="310">
        <v>12.69996482</v>
      </c>
      <c r="J8" s="618">
        <v>0.03</v>
      </c>
      <c r="K8" s="331"/>
    </row>
    <row r="9" spans="1:11" s="145" customFormat="1" ht="15">
      <c r="A9" s="293">
        <v>7</v>
      </c>
      <c r="B9" s="617" t="s">
        <v>357</v>
      </c>
      <c r="C9" s="310">
        <v>123.8</v>
      </c>
      <c r="D9" s="310">
        <v>200558.9859</v>
      </c>
      <c r="E9" s="310">
        <v>1.7920752</v>
      </c>
      <c r="F9" s="310">
        <v>1.0851063299999999</v>
      </c>
      <c r="G9" s="310">
        <v>0.33845821999999998</v>
      </c>
      <c r="H9" s="310">
        <v>1.1985239299999999</v>
      </c>
      <c r="I9" s="310">
        <v>5.77644907</v>
      </c>
      <c r="J9" s="618">
        <v>0.02</v>
      </c>
      <c r="K9" s="331"/>
    </row>
    <row r="10" spans="1:11" s="145" customFormat="1" ht="15">
      <c r="A10" s="293">
        <v>8</v>
      </c>
      <c r="B10" s="617" t="s">
        <v>358</v>
      </c>
      <c r="C10" s="310">
        <v>159.66999999999999</v>
      </c>
      <c r="D10" s="310">
        <v>96795.563970000003</v>
      </c>
      <c r="E10" s="310">
        <v>0.86490730000000005</v>
      </c>
      <c r="F10" s="310">
        <v>0.99840673999999996</v>
      </c>
      <c r="G10" s="310">
        <v>0.37769111</v>
      </c>
      <c r="H10" s="310">
        <v>1.5942602299999999</v>
      </c>
      <c r="I10" s="310">
        <v>7.9556806800000004</v>
      </c>
      <c r="J10" s="618">
        <v>0.03</v>
      </c>
      <c r="K10" s="331"/>
    </row>
    <row r="11" spans="1:11" s="145" customFormat="1" ht="25.5">
      <c r="A11" s="293">
        <v>9</v>
      </c>
      <c r="B11" s="617" t="s">
        <v>359</v>
      </c>
      <c r="C11" s="310">
        <v>4338.51</v>
      </c>
      <c r="D11" s="310">
        <v>69824.991949999996</v>
      </c>
      <c r="E11" s="310">
        <v>0.62391439000000004</v>
      </c>
      <c r="F11" s="310">
        <v>1.4236761</v>
      </c>
      <c r="G11" s="310">
        <v>0.29086954999999998</v>
      </c>
      <c r="H11" s="310">
        <v>1.6661370799999999</v>
      </c>
      <c r="I11" s="310">
        <v>2.1711184100000001</v>
      </c>
      <c r="J11" s="618">
        <v>0.03</v>
      </c>
      <c r="K11" s="331"/>
    </row>
    <row r="12" spans="1:11" s="145" customFormat="1" ht="15">
      <c r="A12" s="293">
        <v>10</v>
      </c>
      <c r="B12" s="617" t="s">
        <v>360</v>
      </c>
      <c r="C12" s="310">
        <v>2845.44</v>
      </c>
      <c r="D12" s="310">
        <v>425024.8529</v>
      </c>
      <c r="E12" s="310">
        <v>3.79776801</v>
      </c>
      <c r="F12" s="310">
        <v>0.83610898</v>
      </c>
      <c r="G12" s="310">
        <v>0.26446535999999998</v>
      </c>
      <c r="H12" s="310">
        <v>1.0720767899999999</v>
      </c>
      <c r="I12" s="310">
        <v>6.5368241100000004</v>
      </c>
      <c r="J12" s="618">
        <v>0.02</v>
      </c>
      <c r="K12" s="331"/>
    </row>
    <row r="13" spans="1:11" s="145" customFormat="1" ht="15">
      <c r="A13" s="293">
        <v>11</v>
      </c>
      <c r="B13" s="617" t="s">
        <v>361</v>
      </c>
      <c r="C13" s="310">
        <v>24.09</v>
      </c>
      <c r="D13" s="310">
        <v>69106.860419999997</v>
      </c>
      <c r="E13" s="310">
        <v>0.61749759000000004</v>
      </c>
      <c r="F13" s="310">
        <v>0.27716762</v>
      </c>
      <c r="G13" s="310">
        <v>3.9918139999999998E-2</v>
      </c>
      <c r="H13" s="310">
        <v>1.08320777</v>
      </c>
      <c r="I13" s="310">
        <v>1.2239711600000001</v>
      </c>
      <c r="J13" s="618">
        <v>0.02</v>
      </c>
      <c r="K13" s="331"/>
    </row>
    <row r="14" spans="1:11" s="145" customFormat="1" ht="15">
      <c r="A14" s="293">
        <v>12</v>
      </c>
      <c r="B14" s="617" t="s">
        <v>362</v>
      </c>
      <c r="C14" s="310">
        <v>161.5</v>
      </c>
      <c r="D14" s="310">
        <v>86863.499880000003</v>
      </c>
      <c r="E14" s="310">
        <v>0.77616030999999996</v>
      </c>
      <c r="F14" s="310">
        <v>0.2878502</v>
      </c>
      <c r="G14" s="310">
        <v>2.4513509999999999E-2</v>
      </c>
      <c r="H14" s="310">
        <v>0.99285215999999998</v>
      </c>
      <c r="I14" s="310">
        <v>7.1618208900000004</v>
      </c>
      <c r="J14" s="618">
        <v>0.02</v>
      </c>
      <c r="K14" s="331"/>
    </row>
    <row r="15" spans="1:11" s="145" customFormat="1" ht="15">
      <c r="A15" s="293">
        <v>13</v>
      </c>
      <c r="B15" s="617" t="s">
        <v>363</v>
      </c>
      <c r="C15" s="310">
        <v>6162.73</v>
      </c>
      <c r="D15" s="310">
        <v>119699.59669999999</v>
      </c>
      <c r="E15" s="310">
        <v>1.0695640399999999</v>
      </c>
      <c r="F15" s="310">
        <v>1.557669</v>
      </c>
      <c r="G15" s="310">
        <v>0.33207494999999998</v>
      </c>
      <c r="H15" s="310">
        <v>2.24358002</v>
      </c>
      <c r="I15" s="310">
        <v>0.52661815000000001</v>
      </c>
      <c r="J15" s="618">
        <v>0.03</v>
      </c>
      <c r="K15" s="331"/>
    </row>
    <row r="16" spans="1:11" s="145" customFormat="1" ht="15">
      <c r="A16" s="293">
        <v>14</v>
      </c>
      <c r="B16" s="617" t="s">
        <v>364</v>
      </c>
      <c r="C16" s="310">
        <v>53.09</v>
      </c>
      <c r="D16" s="310">
        <v>64908.979180000002</v>
      </c>
      <c r="E16" s="310">
        <v>0.57998784000000003</v>
      </c>
      <c r="F16" s="310">
        <v>0.61384121000000003</v>
      </c>
      <c r="G16" s="310">
        <v>0.12194263</v>
      </c>
      <c r="H16" s="310">
        <v>1.8530859099999999</v>
      </c>
      <c r="I16" s="310">
        <v>3.4672570700000001</v>
      </c>
      <c r="J16" s="618">
        <v>0.03</v>
      </c>
      <c r="K16" s="331"/>
    </row>
    <row r="17" spans="1:11" s="145" customFormat="1" ht="25.5">
      <c r="A17" s="293">
        <v>15</v>
      </c>
      <c r="B17" s="617" t="s">
        <v>365</v>
      </c>
      <c r="C17" s="310">
        <v>83.41</v>
      </c>
      <c r="D17" s="310">
        <v>85631.775320000001</v>
      </c>
      <c r="E17" s="310">
        <v>0.76515434999999998</v>
      </c>
      <c r="F17" s="310">
        <v>0.42825111999999999</v>
      </c>
      <c r="G17" s="310">
        <v>7.7523019999999998E-2</v>
      </c>
      <c r="H17" s="310">
        <v>1.2517265799999999</v>
      </c>
      <c r="I17" s="310">
        <v>4.1604325600000003</v>
      </c>
      <c r="J17" s="618">
        <v>0.02</v>
      </c>
      <c r="K17" s="331"/>
    </row>
    <row r="18" spans="1:11" s="145" customFormat="1" ht="15">
      <c r="A18" s="293">
        <v>16</v>
      </c>
      <c r="B18" s="617" t="s">
        <v>366</v>
      </c>
      <c r="C18" s="310">
        <v>27.4</v>
      </c>
      <c r="D18" s="310">
        <v>67961.457980000007</v>
      </c>
      <c r="E18" s="310">
        <v>0.60726296000000002</v>
      </c>
      <c r="F18" s="310">
        <v>0.82905764000000004</v>
      </c>
      <c r="G18" s="310">
        <v>0.19864481</v>
      </c>
      <c r="H18" s="310">
        <v>1.82880961</v>
      </c>
      <c r="I18" s="310">
        <v>-4.4330710000000002E-2</v>
      </c>
      <c r="J18" s="618">
        <v>0.02</v>
      </c>
      <c r="K18" s="331"/>
    </row>
    <row r="19" spans="1:11" s="145" customFormat="1" ht="15">
      <c r="A19" s="293">
        <v>17</v>
      </c>
      <c r="B19" s="617" t="s">
        <v>367</v>
      </c>
      <c r="C19" s="310">
        <v>131.69999999999999</v>
      </c>
      <c r="D19" s="310">
        <v>99519.652910000004</v>
      </c>
      <c r="E19" s="310">
        <v>0.88924813000000003</v>
      </c>
      <c r="F19" s="310">
        <v>1.0136869900000001</v>
      </c>
      <c r="G19" s="310">
        <v>0.34788549000000002</v>
      </c>
      <c r="H19" s="310">
        <v>1.7554926399999999</v>
      </c>
      <c r="I19" s="310">
        <v>-2.80543801</v>
      </c>
      <c r="J19" s="618">
        <v>0.02</v>
      </c>
      <c r="K19" s="331"/>
    </row>
    <row r="20" spans="1:11" s="145" customFormat="1" ht="15">
      <c r="A20" s="293">
        <v>18</v>
      </c>
      <c r="B20" s="617" t="s">
        <v>368</v>
      </c>
      <c r="C20" s="310">
        <v>542.73</v>
      </c>
      <c r="D20" s="310">
        <v>185551.5999</v>
      </c>
      <c r="E20" s="310">
        <v>1.65797817</v>
      </c>
      <c r="F20" s="310">
        <v>0.70544536999999996</v>
      </c>
      <c r="G20" s="310">
        <v>0.16974064</v>
      </c>
      <c r="H20" s="310">
        <v>1.5593690899999999</v>
      </c>
      <c r="I20" s="310">
        <v>6.7362717600000002</v>
      </c>
      <c r="J20" s="618">
        <v>0.02</v>
      </c>
      <c r="K20" s="331"/>
    </row>
    <row r="21" spans="1:11" s="145" customFormat="1" ht="15">
      <c r="A21" s="293">
        <v>19</v>
      </c>
      <c r="B21" s="617" t="s">
        <v>369</v>
      </c>
      <c r="C21" s="310">
        <v>760.81</v>
      </c>
      <c r="D21" s="310">
        <v>1232919.804</v>
      </c>
      <c r="E21" s="310">
        <v>11.01663433</v>
      </c>
      <c r="F21" s="310">
        <v>1.0248485199999999</v>
      </c>
      <c r="G21" s="310">
        <v>0.39453164000000002</v>
      </c>
      <c r="H21" s="310">
        <v>1.2142208000000001</v>
      </c>
      <c r="I21" s="310">
        <v>1.3089896299999999</v>
      </c>
      <c r="J21" s="618">
        <v>0.02</v>
      </c>
      <c r="K21" s="331"/>
    </row>
    <row r="22" spans="1:11" s="145" customFormat="1" ht="25.5">
      <c r="A22" s="293">
        <v>20</v>
      </c>
      <c r="B22" s="617" t="s">
        <v>370</v>
      </c>
      <c r="C22" s="310">
        <v>2150.94</v>
      </c>
      <c r="D22" s="310">
        <v>77856.218900000007</v>
      </c>
      <c r="E22" s="310">
        <v>0.69567663000000002</v>
      </c>
      <c r="F22" s="310">
        <v>0.58728561000000001</v>
      </c>
      <c r="G22" s="310">
        <v>0.11757927</v>
      </c>
      <c r="H22" s="310">
        <v>1.68645921</v>
      </c>
      <c r="I22" s="310">
        <v>3.2424877699999999</v>
      </c>
      <c r="J22" s="618">
        <v>0.02</v>
      </c>
      <c r="K22" s="331"/>
    </row>
    <row r="23" spans="1:11" s="145" customFormat="1" ht="15">
      <c r="A23" s="293">
        <v>21</v>
      </c>
      <c r="B23" s="617" t="s">
        <v>371</v>
      </c>
      <c r="C23" s="310">
        <v>39.99</v>
      </c>
      <c r="D23" s="310">
        <v>70895.771540000002</v>
      </c>
      <c r="E23" s="310">
        <v>0.63348223000000004</v>
      </c>
      <c r="F23" s="310">
        <v>0.58950170999999996</v>
      </c>
      <c r="G23" s="310">
        <v>9.3673790000000007E-2</v>
      </c>
      <c r="H23" s="310">
        <v>1.43867386</v>
      </c>
      <c r="I23" s="310">
        <v>-0.60217366000000005</v>
      </c>
      <c r="J23" s="618">
        <v>0.02</v>
      </c>
      <c r="K23" s="331"/>
    </row>
    <row r="24" spans="1:11" s="145" customFormat="1" ht="15">
      <c r="A24" s="293">
        <v>22</v>
      </c>
      <c r="B24" s="617" t="s">
        <v>372</v>
      </c>
      <c r="C24" s="310">
        <v>224.72</v>
      </c>
      <c r="D24" s="310">
        <v>102445.545</v>
      </c>
      <c r="E24" s="310">
        <v>0.91539214999999996</v>
      </c>
      <c r="F24" s="310">
        <v>1.16637305</v>
      </c>
      <c r="G24" s="310">
        <v>0.25581429</v>
      </c>
      <c r="H24" s="310">
        <v>2.15400948</v>
      </c>
      <c r="I24" s="310">
        <v>4.7416368000000002</v>
      </c>
      <c r="J24" s="618">
        <v>0.02</v>
      </c>
      <c r="K24" s="331"/>
    </row>
    <row r="25" spans="1:11" s="145" customFormat="1" ht="15">
      <c r="A25" s="293">
        <v>23</v>
      </c>
      <c r="B25" s="617" t="s">
        <v>373</v>
      </c>
      <c r="C25" s="310">
        <v>234.96</v>
      </c>
      <c r="D25" s="310">
        <v>248032.25200000001</v>
      </c>
      <c r="E25" s="310">
        <v>2.2162679299999999</v>
      </c>
      <c r="F25" s="310">
        <v>0.18829176</v>
      </c>
      <c r="G25" s="310">
        <v>2.0137599999999999E-2</v>
      </c>
      <c r="H25" s="310">
        <v>0.75984784000000005</v>
      </c>
      <c r="I25" s="310">
        <v>2.67403397</v>
      </c>
      <c r="J25" s="618">
        <v>0.02</v>
      </c>
      <c r="K25" s="331"/>
    </row>
    <row r="26" spans="1:11" s="145" customFormat="1" ht="15">
      <c r="A26" s="293">
        <v>24</v>
      </c>
      <c r="B26" s="617" t="s">
        <v>374</v>
      </c>
      <c r="C26" s="310">
        <v>1407.22</v>
      </c>
      <c r="D26" s="310">
        <v>864879.47309999994</v>
      </c>
      <c r="E26" s="310">
        <v>7.7280459500000003</v>
      </c>
      <c r="F26" s="310">
        <v>0.98713103000000002</v>
      </c>
      <c r="G26" s="310">
        <v>0.44398078000000002</v>
      </c>
      <c r="H26" s="310">
        <v>0.93499507999999998</v>
      </c>
      <c r="I26" s="310">
        <v>1.1770516099999999</v>
      </c>
      <c r="J26" s="618">
        <v>0.03</v>
      </c>
      <c r="K26" s="331"/>
    </row>
    <row r="27" spans="1:11" s="145" customFormat="1" ht="15">
      <c r="A27" s="293">
        <v>25</v>
      </c>
      <c r="B27" s="617" t="s">
        <v>376</v>
      </c>
      <c r="C27" s="310">
        <v>778.72</v>
      </c>
      <c r="D27" s="310">
        <v>94338.947830000005</v>
      </c>
      <c r="E27" s="310">
        <v>0.84295644000000003</v>
      </c>
      <c r="F27" s="310">
        <v>1.2395097799999999</v>
      </c>
      <c r="G27" s="310">
        <v>0.41444943000000001</v>
      </c>
      <c r="H27" s="310">
        <v>1.16325894</v>
      </c>
      <c r="I27" s="310">
        <v>-0.17859644</v>
      </c>
      <c r="J27" s="618">
        <v>0.02</v>
      </c>
      <c r="K27" s="331"/>
    </row>
    <row r="28" spans="1:11" s="145" customFormat="1" ht="15">
      <c r="A28" s="293">
        <v>26</v>
      </c>
      <c r="B28" s="617" t="s">
        <v>377</v>
      </c>
      <c r="C28" s="310">
        <v>2075.9499999999998</v>
      </c>
      <c r="D28" s="310">
        <v>702093.38300000003</v>
      </c>
      <c r="E28" s="310">
        <v>6.2734867599999999</v>
      </c>
      <c r="F28" s="310">
        <v>0.78449214</v>
      </c>
      <c r="G28" s="310">
        <v>0.21940200000000001</v>
      </c>
      <c r="H28" s="310">
        <v>1.5229508</v>
      </c>
      <c r="I28" s="310">
        <v>4.0385387399999999</v>
      </c>
      <c r="J28" s="618">
        <v>0.02</v>
      </c>
      <c r="K28" s="331"/>
    </row>
    <row r="29" spans="1:11" s="145" customFormat="1" ht="15">
      <c r="A29" s="293">
        <v>27</v>
      </c>
      <c r="B29" s="617" t="s">
        <v>375</v>
      </c>
      <c r="C29" s="310">
        <v>1248.47</v>
      </c>
      <c r="D29" s="310">
        <v>463690.04629999999</v>
      </c>
      <c r="E29" s="310">
        <v>4.1432570599999998</v>
      </c>
      <c r="F29" s="310">
        <v>0.64204218999999996</v>
      </c>
      <c r="G29" s="310">
        <v>0.20539304999999999</v>
      </c>
      <c r="H29" s="310">
        <v>0.85541703000000002</v>
      </c>
      <c r="I29" s="310">
        <v>1.32229737</v>
      </c>
      <c r="J29" s="618">
        <v>0.02</v>
      </c>
      <c r="K29" s="331"/>
    </row>
    <row r="30" spans="1:11" s="145" customFormat="1" ht="15">
      <c r="A30" s="293">
        <v>28</v>
      </c>
      <c r="B30" s="617" t="s">
        <v>378</v>
      </c>
      <c r="C30" s="310">
        <v>244.55</v>
      </c>
      <c r="D30" s="310">
        <v>89755.252370000002</v>
      </c>
      <c r="E30" s="310">
        <v>0.80199927999999998</v>
      </c>
      <c r="F30" s="310">
        <v>1.39848149</v>
      </c>
      <c r="G30" s="310">
        <v>0.50863468000000001</v>
      </c>
      <c r="H30" s="310">
        <v>1.89643451</v>
      </c>
      <c r="I30" s="310">
        <v>1.38432534</v>
      </c>
      <c r="J30" s="618">
        <v>0.03</v>
      </c>
      <c r="K30" s="331"/>
    </row>
    <row r="31" spans="1:11" s="145" customFormat="1" ht="25.5">
      <c r="A31" s="293">
        <v>29</v>
      </c>
      <c r="B31" s="617" t="s">
        <v>379</v>
      </c>
      <c r="C31" s="310">
        <v>993.98</v>
      </c>
      <c r="D31" s="310">
        <v>261970.6317</v>
      </c>
      <c r="E31" s="310">
        <v>2.3408129600000001</v>
      </c>
      <c r="F31" s="310">
        <v>0.84710978000000003</v>
      </c>
      <c r="G31" s="310">
        <v>0.25212262000000002</v>
      </c>
      <c r="H31" s="310">
        <v>0.75465861000000001</v>
      </c>
      <c r="I31" s="310">
        <v>-1.49897671</v>
      </c>
      <c r="J31" s="618">
        <v>0.01</v>
      </c>
      <c r="K31" s="331"/>
    </row>
    <row r="32" spans="1:11" s="145" customFormat="1" ht="15">
      <c r="A32" s="293">
        <v>30</v>
      </c>
      <c r="B32" s="617" t="s">
        <v>381</v>
      </c>
      <c r="C32" s="310">
        <v>274.97000000000003</v>
      </c>
      <c r="D32" s="310">
        <v>432933.13740000001</v>
      </c>
      <c r="E32" s="310">
        <v>3.8684317099999999</v>
      </c>
      <c r="F32" s="310">
        <v>1.3886599399999999</v>
      </c>
      <c r="G32" s="310">
        <v>0.47087021000000001</v>
      </c>
      <c r="H32" s="310">
        <v>1.412631</v>
      </c>
      <c r="I32" s="310">
        <v>-2.8925294899999998</v>
      </c>
      <c r="J32" s="618">
        <v>0.02</v>
      </c>
      <c r="K32" s="331"/>
    </row>
    <row r="33" spans="1:11" s="145" customFormat="1" ht="15">
      <c r="A33" s="293">
        <v>31</v>
      </c>
      <c r="B33" s="617" t="s">
        <v>380</v>
      </c>
      <c r="C33" s="310">
        <v>29.62</v>
      </c>
      <c r="D33" s="310">
        <v>56519.091740000003</v>
      </c>
      <c r="E33" s="310">
        <v>0.50502082000000004</v>
      </c>
      <c r="F33" s="310">
        <v>0.71555201999999996</v>
      </c>
      <c r="G33" s="310">
        <v>0.13415937999999999</v>
      </c>
      <c r="H33" s="310">
        <v>2.0900536999999999</v>
      </c>
      <c r="I33" s="310">
        <v>8.7996960099999999</v>
      </c>
      <c r="J33" s="618">
        <v>0.03</v>
      </c>
      <c r="K33" s="331"/>
    </row>
    <row r="34" spans="1:11" s="145" customFormat="1" ht="25.5">
      <c r="A34" s="293">
        <v>32</v>
      </c>
      <c r="B34" s="617" t="s">
        <v>382</v>
      </c>
      <c r="C34" s="310">
        <v>621.76</v>
      </c>
      <c r="D34" s="310">
        <v>272110.47100000002</v>
      </c>
      <c r="E34" s="310">
        <v>2.4314165000000001</v>
      </c>
      <c r="F34" s="310">
        <v>1.1508928700000001</v>
      </c>
      <c r="G34" s="310">
        <v>0.27200073000000002</v>
      </c>
      <c r="H34" s="310">
        <v>1.75828951</v>
      </c>
      <c r="I34" s="310">
        <v>-3.5215626900000001</v>
      </c>
      <c r="J34" s="618">
        <v>0.02</v>
      </c>
      <c r="K34" s="331"/>
    </row>
    <row r="35" spans="1:11" s="145" customFormat="1" ht="15">
      <c r="A35" s="293">
        <v>33</v>
      </c>
      <c r="B35" s="617" t="s">
        <v>383</v>
      </c>
      <c r="C35" s="310">
        <v>157.19999999999999</v>
      </c>
      <c r="D35" s="310">
        <v>163780.47529999999</v>
      </c>
      <c r="E35" s="310">
        <v>1.4634444200000001</v>
      </c>
      <c r="F35" s="310">
        <v>0.77348792</v>
      </c>
      <c r="G35" s="310">
        <v>0.23029843</v>
      </c>
      <c r="H35" s="310">
        <v>1.62623933</v>
      </c>
      <c r="I35" s="310">
        <v>-5.43466659</v>
      </c>
      <c r="J35" s="618">
        <v>0.03</v>
      </c>
      <c r="K35" s="331"/>
    </row>
    <row r="36" spans="1:11" s="145" customFormat="1" ht="15">
      <c r="A36" s="293">
        <v>34</v>
      </c>
      <c r="B36" s="617" t="s">
        <v>385</v>
      </c>
      <c r="C36" s="310">
        <v>96.42</v>
      </c>
      <c r="D36" s="310">
        <v>89211.292660000006</v>
      </c>
      <c r="E36" s="310">
        <v>0.79713878000000005</v>
      </c>
      <c r="F36" s="310">
        <v>0.28803841000000002</v>
      </c>
      <c r="G36" s="310">
        <v>3.8706860000000003E-2</v>
      </c>
      <c r="H36" s="310">
        <v>0.86652110000000004</v>
      </c>
      <c r="I36" s="310">
        <v>1.8075600000000001</v>
      </c>
      <c r="J36" s="618">
        <v>0.03</v>
      </c>
      <c r="K36" s="331"/>
    </row>
    <row r="37" spans="1:11" s="145" customFormat="1" ht="15">
      <c r="A37" s="293">
        <v>35</v>
      </c>
      <c r="B37" s="617" t="s">
        <v>384</v>
      </c>
      <c r="C37" s="310">
        <v>9696.67</v>
      </c>
      <c r="D37" s="310">
        <v>197751.86979999999</v>
      </c>
      <c r="E37" s="310">
        <v>1.76699249</v>
      </c>
      <c r="F37" s="310">
        <v>1.5908182799999999</v>
      </c>
      <c r="G37" s="310">
        <v>0.44043592999999998</v>
      </c>
      <c r="H37" s="310">
        <v>1.3381054999999999</v>
      </c>
      <c r="I37" s="310">
        <v>4.8076920000000002E-2</v>
      </c>
      <c r="J37" s="618">
        <v>0.03</v>
      </c>
      <c r="K37" s="331"/>
    </row>
    <row r="38" spans="1:11" s="145" customFormat="1" ht="25.5">
      <c r="A38" s="293">
        <v>36</v>
      </c>
      <c r="B38" s="617" t="s">
        <v>386</v>
      </c>
      <c r="C38" s="310">
        <v>6290.14</v>
      </c>
      <c r="D38" s="310">
        <v>128988.7478</v>
      </c>
      <c r="E38" s="310">
        <v>1.1525663399999999</v>
      </c>
      <c r="F38" s="310">
        <v>1.7942507400000001</v>
      </c>
      <c r="G38" s="310">
        <v>0.42437026</v>
      </c>
      <c r="H38" s="310">
        <v>2.7382705899999999</v>
      </c>
      <c r="I38" s="310">
        <v>-1.0323159799999999</v>
      </c>
      <c r="J38" s="618">
        <v>0.03</v>
      </c>
      <c r="K38" s="331"/>
    </row>
    <row r="39" spans="1:11" s="145" customFormat="1" ht="25.5">
      <c r="A39" s="293">
        <v>37</v>
      </c>
      <c r="B39" s="617" t="s">
        <v>387</v>
      </c>
      <c r="C39" s="310">
        <v>9300.6</v>
      </c>
      <c r="D39" s="310">
        <v>153763.16269999999</v>
      </c>
      <c r="E39" s="310">
        <v>1.3739357000000001</v>
      </c>
      <c r="F39" s="310">
        <v>1.28053675</v>
      </c>
      <c r="G39" s="310">
        <v>0.31528904000000002</v>
      </c>
      <c r="H39" s="310">
        <v>1.7494720800000001</v>
      </c>
      <c r="I39" s="310">
        <v>-3.1016657099999998</v>
      </c>
      <c r="J39" s="618">
        <v>0.03</v>
      </c>
      <c r="K39" s="331"/>
    </row>
    <row r="40" spans="1:11" s="145" customFormat="1" ht="15">
      <c r="A40" s="293">
        <v>38</v>
      </c>
      <c r="B40" s="617" t="s">
        <v>388</v>
      </c>
      <c r="C40" s="310">
        <v>6765.81</v>
      </c>
      <c r="D40" s="310">
        <v>1021384.1850000001</v>
      </c>
      <c r="E40" s="310">
        <v>9.1264784900000002</v>
      </c>
      <c r="F40" s="310">
        <v>1.1590808399999999</v>
      </c>
      <c r="G40" s="310">
        <v>0.53364034999999999</v>
      </c>
      <c r="H40" s="310">
        <v>1.10439891</v>
      </c>
      <c r="I40" s="310">
        <v>0.27899098</v>
      </c>
      <c r="J40" s="618">
        <v>0.02</v>
      </c>
      <c r="K40" s="331"/>
    </row>
    <row r="41" spans="1:11" s="145" customFormat="1" ht="25.5">
      <c r="A41" s="293">
        <v>39</v>
      </c>
      <c r="B41" s="617" t="s">
        <v>389</v>
      </c>
      <c r="C41" s="310">
        <v>1001.52</v>
      </c>
      <c r="D41" s="310">
        <v>83390.015140000003</v>
      </c>
      <c r="E41" s="310">
        <v>0.74512332000000003</v>
      </c>
      <c r="F41" s="310">
        <v>0.80320676000000002</v>
      </c>
      <c r="G41" s="310">
        <v>0.20858196000000001</v>
      </c>
      <c r="H41" s="310">
        <v>1.6581182800000001</v>
      </c>
      <c r="I41" s="310">
        <v>5.51136202</v>
      </c>
      <c r="J41" s="618">
        <v>0.03</v>
      </c>
      <c r="K41" s="331"/>
    </row>
    <row r="42" spans="1:11" s="145" customFormat="1" ht="15">
      <c r="A42" s="293">
        <v>40</v>
      </c>
      <c r="B42" s="628" t="s">
        <v>738</v>
      </c>
      <c r="C42" s="310">
        <v>375.91</v>
      </c>
      <c r="D42" s="310">
        <v>89141.047340000005</v>
      </c>
      <c r="E42" s="310">
        <v>0.79651110999999997</v>
      </c>
      <c r="F42" s="310">
        <v>1.5618019000000001</v>
      </c>
      <c r="G42" s="310">
        <v>0.36589585000000002</v>
      </c>
      <c r="H42" s="310">
        <v>1.9329334300000001</v>
      </c>
      <c r="I42" s="310">
        <v>9.2958611199999996</v>
      </c>
      <c r="J42" s="618">
        <v>0.03</v>
      </c>
      <c r="K42" s="331"/>
    </row>
    <row r="43" spans="1:11" s="145" customFormat="1" ht="15">
      <c r="A43" s="293">
        <v>41</v>
      </c>
      <c r="B43" s="617" t="s">
        <v>390</v>
      </c>
      <c r="C43" s="310">
        <v>892.46</v>
      </c>
      <c r="D43" s="310">
        <v>312993.28019999998</v>
      </c>
      <c r="E43" s="310">
        <v>2.7967208499999998</v>
      </c>
      <c r="F43" s="310">
        <v>1.48334798</v>
      </c>
      <c r="G43" s="310">
        <v>0.49348286000000002</v>
      </c>
      <c r="H43" s="310">
        <v>1.3676125699999999</v>
      </c>
      <c r="I43" s="310">
        <v>-6.5107748699999997</v>
      </c>
      <c r="J43" s="618">
        <v>0.02</v>
      </c>
      <c r="K43" s="331"/>
    </row>
    <row r="44" spans="1:11" s="145" customFormat="1" ht="25.5">
      <c r="A44" s="293">
        <v>42</v>
      </c>
      <c r="B44" s="617" t="s">
        <v>391</v>
      </c>
      <c r="C44" s="310">
        <v>239.93</v>
      </c>
      <c r="D44" s="310">
        <v>196683.68470000001</v>
      </c>
      <c r="E44" s="310">
        <v>1.75744783</v>
      </c>
      <c r="F44" s="310">
        <v>0.46054372999999998</v>
      </c>
      <c r="G44" s="310">
        <v>0.10731333</v>
      </c>
      <c r="H44" s="310">
        <v>0.73892614000000001</v>
      </c>
      <c r="I44" s="310">
        <v>5.9499229400000004</v>
      </c>
      <c r="J44" s="618">
        <v>0.02</v>
      </c>
      <c r="K44" s="331"/>
    </row>
    <row r="45" spans="1:11" s="145" customFormat="1" ht="25.5">
      <c r="A45" s="293">
        <v>43</v>
      </c>
      <c r="B45" s="617" t="s">
        <v>392</v>
      </c>
      <c r="C45" s="310">
        <v>361.81</v>
      </c>
      <c r="D45" s="310">
        <v>461324.24900000001</v>
      </c>
      <c r="E45" s="310">
        <v>4.1221177100000004</v>
      </c>
      <c r="F45" s="310">
        <v>0.60973940999999998</v>
      </c>
      <c r="G45" s="310">
        <v>0.15430515</v>
      </c>
      <c r="H45" s="310">
        <v>1.36642621</v>
      </c>
      <c r="I45" s="310">
        <v>3.8400583799999999</v>
      </c>
      <c r="J45" s="618">
        <v>0.02</v>
      </c>
      <c r="K45" s="331"/>
    </row>
    <row r="46" spans="1:11" s="145" customFormat="1" ht="25.5">
      <c r="A46" s="293">
        <v>44</v>
      </c>
      <c r="B46" s="617" t="s">
        <v>393</v>
      </c>
      <c r="C46" s="310">
        <v>98.95</v>
      </c>
      <c r="D46" s="310">
        <v>78376.794750000001</v>
      </c>
      <c r="E46" s="310">
        <v>0.70032817999999997</v>
      </c>
      <c r="F46" s="310">
        <v>0.48065646000000001</v>
      </c>
      <c r="G46" s="310">
        <v>8.031402E-2</v>
      </c>
      <c r="H46" s="310">
        <v>1.18298123</v>
      </c>
      <c r="I46" s="310">
        <v>0.94200764999999997</v>
      </c>
      <c r="J46" s="618">
        <v>0.02</v>
      </c>
      <c r="K46" s="331"/>
    </row>
    <row r="47" spans="1:11" s="145" customFormat="1" ht="15">
      <c r="A47" s="293">
        <v>45</v>
      </c>
      <c r="B47" s="617" t="s">
        <v>394</v>
      </c>
      <c r="C47" s="310">
        <v>736.12</v>
      </c>
      <c r="D47" s="310">
        <v>233155.4529</v>
      </c>
      <c r="E47" s="310">
        <v>2.0833377500000001</v>
      </c>
      <c r="F47" s="310">
        <v>1.0781341600000001</v>
      </c>
      <c r="G47" s="310">
        <v>0.26277509999999998</v>
      </c>
      <c r="H47" s="310">
        <v>2.4622939700000002</v>
      </c>
      <c r="I47" s="310">
        <v>-3.9164829499999998</v>
      </c>
      <c r="J47" s="618">
        <v>0.02</v>
      </c>
      <c r="K47" s="331"/>
    </row>
    <row r="48" spans="1:11" s="145" customFormat="1" ht="15">
      <c r="A48" s="293">
        <v>46</v>
      </c>
      <c r="B48" s="617" t="s">
        <v>395</v>
      </c>
      <c r="C48" s="310">
        <v>1248.3499999999999</v>
      </c>
      <c r="D48" s="310">
        <v>125860.9183</v>
      </c>
      <c r="E48" s="310">
        <v>1.1246179300000001</v>
      </c>
      <c r="F48" s="310">
        <v>1.56922603</v>
      </c>
      <c r="G48" s="310">
        <v>0.50250307000000005</v>
      </c>
      <c r="H48" s="310">
        <v>1.90178282</v>
      </c>
      <c r="I48" s="310">
        <v>-7.6029758699999999</v>
      </c>
      <c r="J48" s="618">
        <v>0.02</v>
      </c>
      <c r="K48" s="331"/>
    </row>
    <row r="49" spans="1:11" s="145" customFormat="1" ht="15">
      <c r="A49" s="293">
        <v>47</v>
      </c>
      <c r="B49" s="617" t="s">
        <v>396</v>
      </c>
      <c r="C49" s="310">
        <v>488.94</v>
      </c>
      <c r="D49" s="310">
        <v>104019.7914</v>
      </c>
      <c r="E49" s="310">
        <v>0.92945867000000004</v>
      </c>
      <c r="F49" s="310">
        <v>0.89803882000000002</v>
      </c>
      <c r="G49" s="310">
        <v>0.22516663000000001</v>
      </c>
      <c r="H49" s="310">
        <v>1.74388784</v>
      </c>
      <c r="I49" s="310">
        <v>5.2817807500000002</v>
      </c>
      <c r="J49" s="618">
        <v>0.03</v>
      </c>
      <c r="K49" s="331"/>
    </row>
    <row r="50" spans="1:11" s="145" customFormat="1" ht="15">
      <c r="A50" s="293">
        <v>48</v>
      </c>
      <c r="B50" s="617" t="s">
        <v>397</v>
      </c>
      <c r="C50" s="310">
        <v>88.78</v>
      </c>
      <c r="D50" s="310">
        <v>148759.2689</v>
      </c>
      <c r="E50" s="310">
        <v>1.3292238999999999</v>
      </c>
      <c r="F50" s="310">
        <v>0.70463138000000003</v>
      </c>
      <c r="G50" s="310">
        <v>0.17429854</v>
      </c>
      <c r="H50" s="310">
        <v>1.2467722800000001</v>
      </c>
      <c r="I50" s="310">
        <v>3.0702959000000001</v>
      </c>
      <c r="J50" s="618">
        <v>0.02</v>
      </c>
      <c r="K50" s="331"/>
    </row>
    <row r="51" spans="1:11" s="145" customFormat="1" ht="15">
      <c r="A51" s="293">
        <v>49</v>
      </c>
      <c r="B51" s="617" t="s">
        <v>398</v>
      </c>
      <c r="C51" s="310">
        <v>288.7</v>
      </c>
      <c r="D51" s="310">
        <v>130513.1287</v>
      </c>
      <c r="E51" s="310">
        <v>1.1661873</v>
      </c>
      <c r="F51" s="310">
        <v>1.13413341</v>
      </c>
      <c r="G51" s="310">
        <v>0.42169160999999999</v>
      </c>
      <c r="H51" s="310">
        <v>1.36117416</v>
      </c>
      <c r="I51" s="310">
        <v>-4.9237835700000003</v>
      </c>
      <c r="J51" s="618">
        <v>0.03</v>
      </c>
      <c r="K51" s="331"/>
    </row>
    <row r="52" spans="1:11" s="145" customFormat="1" ht="15">
      <c r="A52" s="293">
        <v>50</v>
      </c>
      <c r="B52" s="617" t="s">
        <v>399</v>
      </c>
      <c r="C52" s="310">
        <v>1045.99</v>
      </c>
      <c r="D52" s="310">
        <v>76026.651070000007</v>
      </c>
      <c r="E52" s="310">
        <v>0.67932870999999995</v>
      </c>
      <c r="F52" s="310">
        <v>1.0921137400000001</v>
      </c>
      <c r="G52" s="310">
        <v>0.27567227999999999</v>
      </c>
      <c r="H52" s="310">
        <v>1.8523435399999999</v>
      </c>
      <c r="I52" s="310">
        <v>3.1417624499999999</v>
      </c>
      <c r="J52" s="618">
        <v>0.02</v>
      </c>
      <c r="K52" s="331"/>
    </row>
    <row r="53" spans="1:11" s="145" customFormat="1" ht="12.75">
      <c r="A53" s="287"/>
      <c r="B53" s="288"/>
      <c r="C53" s="289"/>
      <c r="D53" s="289"/>
      <c r="E53" s="290"/>
      <c r="F53" s="290"/>
      <c r="G53" s="291"/>
      <c r="H53" s="291"/>
      <c r="I53" s="292"/>
      <c r="J53" s="292"/>
    </row>
    <row r="54" spans="1:11" s="145" customFormat="1">
      <c r="A54" s="1343" t="s">
        <v>400</v>
      </c>
      <c r="B54" s="1343"/>
      <c r="C54" s="1343"/>
      <c r="D54" s="1343"/>
      <c r="E54" s="1343"/>
      <c r="F54" s="1343"/>
      <c r="G54" s="1343"/>
      <c r="H54" s="1343"/>
      <c r="I54" s="1343"/>
      <c r="J54" s="1343"/>
    </row>
    <row r="55" spans="1:11" s="145" customFormat="1">
      <c r="A55" s="1343" t="s">
        <v>346</v>
      </c>
      <c r="B55" s="1343"/>
      <c r="C55" s="1343"/>
      <c r="D55" s="1343"/>
      <c r="E55" s="1343"/>
      <c r="F55" s="1343"/>
      <c r="G55" s="1343"/>
      <c r="H55" s="1343"/>
      <c r="I55" s="1343"/>
      <c r="J55" s="1343"/>
    </row>
    <row r="56" spans="1:11" s="145" customFormat="1">
      <c r="A56" s="1343" t="s">
        <v>401</v>
      </c>
      <c r="B56" s="1343"/>
      <c r="C56" s="1343"/>
      <c r="D56" s="1343"/>
      <c r="E56" s="1343"/>
      <c r="F56" s="1343"/>
      <c r="G56" s="1343"/>
      <c r="H56" s="1343"/>
      <c r="I56" s="1343"/>
      <c r="J56" s="1343"/>
    </row>
    <row r="57" spans="1:11" s="145" customFormat="1">
      <c r="A57" s="1343" t="s">
        <v>348</v>
      </c>
      <c r="B57" s="1343"/>
      <c r="C57" s="1343"/>
      <c r="D57" s="1343"/>
      <c r="E57" s="1343"/>
      <c r="F57" s="1343"/>
      <c r="G57" s="1343"/>
      <c r="H57" s="1343"/>
      <c r="I57" s="1343"/>
      <c r="J57" s="1343"/>
    </row>
    <row r="58" spans="1:11" s="145" customFormat="1">
      <c r="A58" s="1343" t="s">
        <v>402</v>
      </c>
      <c r="B58" s="1343"/>
      <c r="C58" s="1343"/>
      <c r="D58" s="1343"/>
      <c r="E58" s="1343"/>
      <c r="F58" s="1343"/>
      <c r="G58" s="1343"/>
      <c r="H58" s="1343"/>
      <c r="I58" s="1343"/>
      <c r="J58" s="1343"/>
    </row>
    <row r="59" spans="1:11" s="145" customFormat="1">
      <c r="A59" s="362" t="s">
        <v>744</v>
      </c>
      <c r="B59" s="568"/>
      <c r="C59" s="568"/>
      <c r="D59" s="568"/>
      <c r="E59" s="568"/>
      <c r="F59" s="568"/>
      <c r="G59" s="568"/>
      <c r="H59" s="568"/>
      <c r="I59" s="568"/>
      <c r="J59" s="568"/>
    </row>
    <row r="60" spans="1:11" s="145" customFormat="1">
      <c r="A60" s="1342" t="s">
        <v>307</v>
      </c>
      <c r="B60" s="1342"/>
      <c r="C60" s="1342"/>
      <c r="D60" s="1342"/>
      <c r="E60" s="1342"/>
      <c r="F60" s="1342"/>
      <c r="G60" s="1342"/>
      <c r="H60" s="1342"/>
      <c r="I60" s="1342"/>
      <c r="J60" s="1342"/>
    </row>
  </sheetData>
  <mergeCells count="6">
    <mergeCell ref="A60:J60"/>
    <mergeCell ref="A54:J54"/>
    <mergeCell ref="A55:J55"/>
    <mergeCell ref="A56:J56"/>
    <mergeCell ref="A57:J57"/>
    <mergeCell ref="A58:J58"/>
  </mergeCells>
  <printOptions horizontalCentered="1"/>
  <pageMargins left="0.78431372549019618" right="0.78431372549019618" top="0.98039215686274517" bottom="0.98039215686274517" header="0.50980392156862753" footer="0.50980392156862753"/>
  <pageSetup paperSize="9" scale="89" fitToHeight="0" orientation="landscape" useFirstPageNumber="1" r:id="rId1"/>
  <headerFooter alignWithMargins="0"/>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50"/>
  <sheetViews>
    <sheetView workbookViewId="0"/>
  </sheetViews>
  <sheetFormatPr defaultColWidth="9.140625" defaultRowHeight="15"/>
  <cols>
    <col min="1" max="1" width="6.42578125" style="92" bestFit="1" customWidth="1"/>
    <col min="2" max="2" width="40.42578125" style="92" bestFit="1" customWidth="1"/>
    <col min="3" max="3" width="13.42578125" style="92" bestFit="1" customWidth="1"/>
    <col min="4" max="4" width="17.42578125" style="92" customWidth="1"/>
    <col min="5" max="5" width="10.42578125" style="92" bestFit="1" customWidth="1"/>
    <col min="6" max="6" width="7.5703125" style="92" bestFit="1" customWidth="1"/>
    <col min="7" max="7" width="6.140625" style="92" bestFit="1" customWidth="1"/>
    <col min="8" max="8" width="10.42578125" style="92" bestFit="1" customWidth="1"/>
    <col min="9" max="9" width="12.5703125" style="92" bestFit="1" customWidth="1"/>
    <col min="10" max="10" width="12.140625" style="92" bestFit="1" customWidth="1"/>
    <col min="11" max="16384" width="9.140625" style="92"/>
  </cols>
  <sheetData>
    <row r="1" spans="1:10">
      <c r="A1" s="485" t="s">
        <v>916</v>
      </c>
      <c r="B1" s="485"/>
      <c r="C1" s="485"/>
      <c r="D1" s="485"/>
      <c r="E1" s="485"/>
      <c r="F1" s="485"/>
      <c r="G1" s="485"/>
    </row>
    <row r="2" spans="1:10" s="330" customFormat="1" ht="60">
      <c r="A2" s="629" t="s">
        <v>403</v>
      </c>
      <c r="B2" s="629" t="s">
        <v>309</v>
      </c>
      <c r="C2" s="629" t="s">
        <v>404</v>
      </c>
      <c r="D2" s="629" t="s">
        <v>405</v>
      </c>
      <c r="E2" s="629" t="s">
        <v>406</v>
      </c>
      <c r="F2" s="629" t="s">
        <v>313</v>
      </c>
      <c r="G2" s="629" t="s">
        <v>407</v>
      </c>
      <c r="H2" s="630" t="s">
        <v>408</v>
      </c>
      <c r="I2" s="630" t="s">
        <v>409</v>
      </c>
      <c r="J2" s="629" t="s">
        <v>410</v>
      </c>
    </row>
    <row r="3" spans="1:10" s="330" customFormat="1">
      <c r="A3" s="631">
        <v>1</v>
      </c>
      <c r="B3" s="632" t="s">
        <v>436</v>
      </c>
      <c r="C3" s="310">
        <v>114.0001121</v>
      </c>
      <c r="D3" s="310">
        <v>87026.775775079994</v>
      </c>
      <c r="E3" s="310">
        <v>7.9831277999999999E-3</v>
      </c>
      <c r="F3" s="310">
        <v>2.0499999999999998</v>
      </c>
      <c r="G3" s="310">
        <v>0.44</v>
      </c>
      <c r="H3" s="310" t="s">
        <v>235</v>
      </c>
      <c r="I3" s="310" t="s">
        <v>235</v>
      </c>
      <c r="J3" s="310" t="s">
        <v>235</v>
      </c>
    </row>
    <row r="4" spans="1:10" s="330" customFormat="1">
      <c r="A4" s="631">
        <v>2</v>
      </c>
      <c r="B4" s="632" t="s">
        <v>445</v>
      </c>
      <c r="C4" s="310">
        <v>432.02778899999998</v>
      </c>
      <c r="D4" s="310">
        <v>109180.29398150001</v>
      </c>
      <c r="E4" s="310">
        <v>1.00153112E-2</v>
      </c>
      <c r="F4" s="310">
        <v>2.08</v>
      </c>
      <c r="G4" s="310">
        <v>0.46</v>
      </c>
      <c r="H4" s="310" t="s">
        <v>235</v>
      </c>
      <c r="I4" s="310" t="s">
        <v>235</v>
      </c>
      <c r="J4" s="310" t="s">
        <v>235</v>
      </c>
    </row>
    <row r="5" spans="1:10" s="330" customFormat="1">
      <c r="A5" s="631">
        <v>3</v>
      </c>
      <c r="B5" s="632" t="s">
        <v>424</v>
      </c>
      <c r="C5" s="310">
        <v>95.919779000000005</v>
      </c>
      <c r="D5" s="310">
        <v>142081.71476804002</v>
      </c>
      <c r="E5" s="310">
        <v>1.30334197E-2</v>
      </c>
      <c r="F5" s="310">
        <v>0.53</v>
      </c>
      <c r="G5" s="310">
        <v>0.15</v>
      </c>
      <c r="H5" s="310" t="s">
        <v>235</v>
      </c>
      <c r="I5" s="310" t="s">
        <v>235</v>
      </c>
      <c r="J5" s="310" t="s">
        <v>235</v>
      </c>
    </row>
    <row r="6" spans="1:10" s="330" customFormat="1">
      <c r="A6" s="631">
        <v>4</v>
      </c>
      <c r="B6" s="632" t="s">
        <v>418</v>
      </c>
      <c r="C6" s="310">
        <v>618.38778479999996</v>
      </c>
      <c r="D6" s="310">
        <v>334492.01481727499</v>
      </c>
      <c r="E6" s="310">
        <v>3.06835739E-2</v>
      </c>
      <c r="F6" s="310">
        <v>1.1000000000000001</v>
      </c>
      <c r="G6" s="310">
        <v>0.37</v>
      </c>
      <c r="H6" s="310" t="s">
        <v>235</v>
      </c>
      <c r="I6" s="310" t="s">
        <v>235</v>
      </c>
      <c r="J6" s="310" t="s">
        <v>235</v>
      </c>
    </row>
    <row r="7" spans="1:10" s="330" customFormat="1">
      <c r="A7" s="631">
        <v>5</v>
      </c>
      <c r="B7" s="632" t="s">
        <v>917</v>
      </c>
      <c r="C7" s="310">
        <v>279.179756</v>
      </c>
      <c r="D7" s="310">
        <v>136655.33790923498</v>
      </c>
      <c r="E7" s="310">
        <v>1.2535648E-2</v>
      </c>
      <c r="F7" s="310">
        <v>0.82</v>
      </c>
      <c r="G7" s="310">
        <v>0.2</v>
      </c>
      <c r="H7" s="310" t="s">
        <v>235</v>
      </c>
      <c r="I7" s="310" t="s">
        <v>235</v>
      </c>
      <c r="J7" s="310" t="s">
        <v>235</v>
      </c>
    </row>
    <row r="8" spans="1:10" s="330" customFormat="1">
      <c r="A8" s="631">
        <v>6</v>
      </c>
      <c r="B8" s="632" t="s">
        <v>423</v>
      </c>
      <c r="C8" s="310">
        <v>123.79926399999999</v>
      </c>
      <c r="D8" s="310">
        <v>201908.72674417499</v>
      </c>
      <c r="E8" s="310">
        <v>1.85214626E-2</v>
      </c>
      <c r="F8" s="310">
        <v>1.07</v>
      </c>
      <c r="G8" s="310">
        <v>0.33</v>
      </c>
      <c r="H8" s="310" t="s">
        <v>235</v>
      </c>
      <c r="I8" s="310" t="s">
        <v>235</v>
      </c>
      <c r="J8" s="310" t="s">
        <v>235</v>
      </c>
    </row>
    <row r="9" spans="1:10" s="330" customFormat="1">
      <c r="A9" s="631">
        <v>7</v>
      </c>
      <c r="B9" s="632" t="s">
        <v>422</v>
      </c>
      <c r="C9" s="310">
        <v>2846.4933289999999</v>
      </c>
      <c r="D9" s="310">
        <v>426097.96636617999</v>
      </c>
      <c r="E9" s="310">
        <v>3.9086758100000001E-2</v>
      </c>
      <c r="F9" s="310">
        <v>0.81</v>
      </c>
      <c r="G9" s="310">
        <v>0.25</v>
      </c>
      <c r="H9" s="310" t="s">
        <v>235</v>
      </c>
      <c r="I9" s="310" t="s">
        <v>235</v>
      </c>
      <c r="J9" s="310" t="s">
        <v>235</v>
      </c>
    </row>
    <row r="10" spans="1:10" s="330" customFormat="1">
      <c r="A10" s="631">
        <v>8</v>
      </c>
      <c r="B10" s="632" t="s">
        <v>446</v>
      </c>
      <c r="C10" s="310">
        <v>161.51198400000001</v>
      </c>
      <c r="D10" s="310">
        <v>92401.110144980004</v>
      </c>
      <c r="E10" s="310">
        <v>8.4761255000000008E-3</v>
      </c>
      <c r="F10" s="310">
        <v>0.27</v>
      </c>
      <c r="G10" s="310">
        <v>0.02</v>
      </c>
      <c r="H10" s="310" t="s">
        <v>235</v>
      </c>
      <c r="I10" s="310" t="s">
        <v>235</v>
      </c>
      <c r="J10" s="310" t="s">
        <v>235</v>
      </c>
    </row>
    <row r="11" spans="1:10" s="330" customFormat="1">
      <c r="A11" s="631">
        <v>9</v>
      </c>
      <c r="B11" s="632" t="s">
        <v>918</v>
      </c>
      <c r="C11" s="310">
        <v>6162.7283269999998</v>
      </c>
      <c r="D11" s="310">
        <v>118916.866017975</v>
      </c>
      <c r="E11" s="310">
        <v>1.0908464999999999E-2</v>
      </c>
      <c r="F11" s="310">
        <v>1.45</v>
      </c>
      <c r="G11" s="310">
        <v>0.34</v>
      </c>
      <c r="H11" s="310" t="s">
        <v>235</v>
      </c>
      <c r="I11" s="310" t="s">
        <v>235</v>
      </c>
      <c r="J11" s="310" t="s">
        <v>235</v>
      </c>
    </row>
    <row r="12" spans="1:10" s="330" customFormat="1">
      <c r="A12" s="631">
        <v>10</v>
      </c>
      <c r="B12" s="632" t="s">
        <v>434</v>
      </c>
      <c r="C12" s="310">
        <v>83.429745499999996</v>
      </c>
      <c r="D12" s="310">
        <v>86041.626576355004</v>
      </c>
      <c r="E12" s="310">
        <v>7.8927583000000003E-3</v>
      </c>
      <c r="F12" s="310">
        <v>0.42</v>
      </c>
      <c r="G12" s="310">
        <v>0.08</v>
      </c>
      <c r="H12" s="310" t="s">
        <v>235</v>
      </c>
      <c r="I12" s="310" t="s">
        <v>235</v>
      </c>
      <c r="J12" s="310" t="s">
        <v>235</v>
      </c>
    </row>
    <row r="13" spans="1:10" s="330" customFormat="1">
      <c r="A13" s="631">
        <v>11</v>
      </c>
      <c r="B13" s="632" t="s">
        <v>442</v>
      </c>
      <c r="C13" s="310">
        <v>131.69584520000001</v>
      </c>
      <c r="D13" s="310">
        <v>110200.87413026999</v>
      </c>
      <c r="E13" s="310">
        <v>1.01089309E-2</v>
      </c>
      <c r="F13" s="310">
        <v>1</v>
      </c>
      <c r="G13" s="310">
        <v>0.34</v>
      </c>
      <c r="H13" s="310" t="s">
        <v>235</v>
      </c>
      <c r="I13" s="310" t="s">
        <v>235</v>
      </c>
      <c r="J13" s="310" t="s">
        <v>235</v>
      </c>
    </row>
    <row r="14" spans="1:10" s="330" customFormat="1">
      <c r="A14" s="631">
        <v>12</v>
      </c>
      <c r="B14" s="632" t="s">
        <v>429</v>
      </c>
      <c r="C14" s="310">
        <v>542.73301919999994</v>
      </c>
      <c r="D14" s="310">
        <v>186427.78558664999</v>
      </c>
      <c r="E14" s="310">
        <v>1.7101367100000001E-2</v>
      </c>
      <c r="F14" s="310">
        <v>0.69</v>
      </c>
      <c r="G14" s="310">
        <v>0.16</v>
      </c>
      <c r="H14" s="310" t="s">
        <v>235</v>
      </c>
      <c r="I14" s="310" t="s">
        <v>235</v>
      </c>
      <c r="J14" s="310" t="s">
        <v>235</v>
      </c>
    </row>
    <row r="15" spans="1:10" s="330" customFormat="1">
      <c r="A15" s="631">
        <v>13</v>
      </c>
      <c r="B15" s="632" t="s">
        <v>411</v>
      </c>
      <c r="C15" s="310">
        <v>761.93786060000002</v>
      </c>
      <c r="D15" s="310">
        <v>1246334.6467589</v>
      </c>
      <c r="E15" s="310">
        <v>0.1143285926</v>
      </c>
      <c r="F15" s="310">
        <v>1.06</v>
      </c>
      <c r="G15" s="310">
        <v>0.42</v>
      </c>
      <c r="H15" s="310" t="s">
        <v>235</v>
      </c>
      <c r="I15" s="310" t="s">
        <v>235</v>
      </c>
      <c r="J15" s="310" t="s">
        <v>235</v>
      </c>
    </row>
    <row r="16" spans="1:10" s="330" customFormat="1">
      <c r="A16" s="631">
        <v>14</v>
      </c>
      <c r="B16" s="632" t="s">
        <v>444</v>
      </c>
      <c r="C16" s="310">
        <v>224.72165229999999</v>
      </c>
      <c r="D16" s="310">
        <v>103671.02526677001</v>
      </c>
      <c r="E16" s="310">
        <v>9.5099356999999995E-3</v>
      </c>
      <c r="F16" s="310">
        <v>1.1499999999999999</v>
      </c>
      <c r="G16" s="310">
        <v>0.25</v>
      </c>
      <c r="H16" s="310" t="s">
        <v>235</v>
      </c>
      <c r="I16" s="310" t="s">
        <v>235</v>
      </c>
      <c r="J16" s="310" t="s">
        <v>235</v>
      </c>
    </row>
    <row r="17" spans="1:10" s="330" customFormat="1">
      <c r="A17" s="631">
        <v>15</v>
      </c>
      <c r="B17" s="632" t="s">
        <v>421</v>
      </c>
      <c r="C17" s="310">
        <v>234.95912619999999</v>
      </c>
      <c r="D17" s="310">
        <v>248680.1536542</v>
      </c>
      <c r="E17" s="310">
        <v>2.28118925E-2</v>
      </c>
      <c r="F17" s="310">
        <v>0.19</v>
      </c>
      <c r="G17" s="310">
        <v>0.02</v>
      </c>
      <c r="H17" s="310" t="s">
        <v>235</v>
      </c>
      <c r="I17" s="310" t="s">
        <v>235</v>
      </c>
      <c r="J17" s="310" t="s">
        <v>235</v>
      </c>
    </row>
    <row r="18" spans="1:10" s="330" customFormat="1">
      <c r="A18" s="631">
        <v>16</v>
      </c>
      <c r="B18" s="632" t="s">
        <v>413</v>
      </c>
      <c r="C18" s="310">
        <v>1408.567168</v>
      </c>
      <c r="D18" s="310">
        <v>863232.15090896003</v>
      </c>
      <c r="E18" s="310">
        <v>7.9185888900000001E-2</v>
      </c>
      <c r="F18" s="310">
        <v>0.99</v>
      </c>
      <c r="G18" s="310">
        <v>0.45</v>
      </c>
      <c r="H18" s="310" t="s">
        <v>235</v>
      </c>
      <c r="I18" s="310" t="s">
        <v>235</v>
      </c>
      <c r="J18" s="310" t="s">
        <v>235</v>
      </c>
    </row>
    <row r="19" spans="1:10" s="330" customFormat="1">
      <c r="A19" s="631">
        <v>17</v>
      </c>
      <c r="B19" s="632" t="s">
        <v>435</v>
      </c>
      <c r="C19" s="310">
        <v>778.82867299999998</v>
      </c>
      <c r="D19" s="310">
        <v>94237.375075325006</v>
      </c>
      <c r="E19" s="310">
        <v>8.6445694999999993E-3</v>
      </c>
      <c r="F19" s="310">
        <v>1.22</v>
      </c>
      <c r="G19" s="310">
        <v>0.41</v>
      </c>
      <c r="H19" s="310" t="s">
        <v>235</v>
      </c>
      <c r="I19" s="310" t="s">
        <v>235</v>
      </c>
      <c r="J19" s="310" t="s">
        <v>235</v>
      </c>
    </row>
    <row r="20" spans="1:10" s="330" customFormat="1">
      <c r="A20" s="631">
        <v>18</v>
      </c>
      <c r="B20" s="632" t="s">
        <v>414</v>
      </c>
      <c r="C20" s="310">
        <v>2076.057476</v>
      </c>
      <c r="D20" s="310">
        <v>700881.07501104008</v>
      </c>
      <c r="E20" s="310">
        <v>6.4293123100000002E-2</v>
      </c>
      <c r="F20" s="310">
        <v>0.78</v>
      </c>
      <c r="G20" s="310">
        <v>0.22</v>
      </c>
      <c r="H20" s="310" t="s">
        <v>235</v>
      </c>
      <c r="I20" s="310" t="s">
        <v>235</v>
      </c>
      <c r="J20" s="310" t="s">
        <v>235</v>
      </c>
    </row>
    <row r="21" spans="1:10" s="330" customFormat="1">
      <c r="A21" s="631">
        <v>19</v>
      </c>
      <c r="B21" s="632" t="s">
        <v>417</v>
      </c>
      <c r="C21" s="310">
        <v>1250.5489742</v>
      </c>
      <c r="D21" s="310">
        <v>627168.14803817996</v>
      </c>
      <c r="E21" s="310">
        <v>5.7531299399999999E-2</v>
      </c>
      <c r="F21" s="310">
        <v>0.62</v>
      </c>
      <c r="G21" s="310">
        <v>0.2</v>
      </c>
      <c r="H21" s="310" t="s">
        <v>235</v>
      </c>
      <c r="I21" s="310" t="s">
        <v>235</v>
      </c>
      <c r="J21" s="310" t="s">
        <v>235</v>
      </c>
    </row>
    <row r="22" spans="1:10" s="330" customFormat="1">
      <c r="A22" s="631">
        <v>20</v>
      </c>
      <c r="B22" s="632" t="s">
        <v>919</v>
      </c>
      <c r="C22" s="310">
        <v>6353.2841879999996</v>
      </c>
      <c r="D22" s="310">
        <v>107914.46152652999</v>
      </c>
      <c r="E22" s="310">
        <v>9.899194E-3</v>
      </c>
      <c r="F22" s="310">
        <v>0.93</v>
      </c>
      <c r="G22" s="310">
        <v>0.22</v>
      </c>
      <c r="H22" s="310" t="s">
        <v>235</v>
      </c>
      <c r="I22" s="310" t="s">
        <v>235</v>
      </c>
      <c r="J22" s="310" t="s">
        <v>235</v>
      </c>
    </row>
    <row r="23" spans="1:10" s="330" customFormat="1">
      <c r="A23" s="631">
        <v>21</v>
      </c>
      <c r="B23" s="632" t="s">
        <v>439</v>
      </c>
      <c r="C23" s="310">
        <v>244.5453966</v>
      </c>
      <c r="D23" s="310">
        <v>125859.86096124002</v>
      </c>
      <c r="E23" s="310">
        <v>1.15453589E-2</v>
      </c>
      <c r="F23" s="310">
        <v>1.38</v>
      </c>
      <c r="G23" s="310">
        <v>0.5</v>
      </c>
      <c r="H23" s="310" t="s">
        <v>235</v>
      </c>
      <c r="I23" s="310" t="s">
        <v>235</v>
      </c>
      <c r="J23" s="310" t="s">
        <v>235</v>
      </c>
    </row>
    <row r="24" spans="1:10" s="330" customFormat="1">
      <c r="A24" s="631">
        <v>22</v>
      </c>
      <c r="B24" s="632" t="s">
        <v>419</v>
      </c>
      <c r="C24" s="310">
        <v>994.06000600000004</v>
      </c>
      <c r="D24" s="310">
        <v>262380.33241728001</v>
      </c>
      <c r="E24" s="310">
        <v>2.4068635299999998E-2</v>
      </c>
      <c r="F24" s="310">
        <v>0.86</v>
      </c>
      <c r="G24" s="310">
        <v>0.26</v>
      </c>
      <c r="H24" s="310" t="s">
        <v>235</v>
      </c>
      <c r="I24" s="310" t="s">
        <v>235</v>
      </c>
      <c r="J24" s="310" t="s">
        <v>235</v>
      </c>
    </row>
    <row r="25" spans="1:10" s="330" customFormat="1">
      <c r="A25" s="631">
        <v>23</v>
      </c>
      <c r="B25" s="632" t="s">
        <v>416</v>
      </c>
      <c r="C25" s="310">
        <v>274.99898000000002</v>
      </c>
      <c r="D25" s="310">
        <v>508174.30648114503</v>
      </c>
      <c r="E25" s="310">
        <v>4.6615773200000002E-2</v>
      </c>
      <c r="F25" s="310">
        <v>1.37</v>
      </c>
      <c r="G25" s="310">
        <v>0.46</v>
      </c>
      <c r="H25" s="310" t="s">
        <v>235</v>
      </c>
      <c r="I25" s="310" t="s">
        <v>235</v>
      </c>
      <c r="J25" s="310" t="s">
        <v>235</v>
      </c>
    </row>
    <row r="26" spans="1:10" s="330" customFormat="1">
      <c r="A26" s="631">
        <v>24</v>
      </c>
      <c r="B26" s="632" t="s">
        <v>425</v>
      </c>
      <c r="C26" s="310">
        <v>621.76441550000004</v>
      </c>
      <c r="D26" s="310">
        <v>285326.50166176003</v>
      </c>
      <c r="E26" s="310">
        <v>2.6173530099999998E-2</v>
      </c>
      <c r="F26" s="310">
        <v>1.1399999999999999</v>
      </c>
      <c r="G26" s="310">
        <v>0.27</v>
      </c>
      <c r="H26" s="310" t="s">
        <v>235</v>
      </c>
      <c r="I26" s="310" t="s">
        <v>235</v>
      </c>
      <c r="J26" s="310" t="s">
        <v>235</v>
      </c>
    </row>
    <row r="27" spans="1:10" s="330" customFormat="1">
      <c r="A27" s="631">
        <v>25</v>
      </c>
      <c r="B27" s="632" t="s">
        <v>426</v>
      </c>
      <c r="C27" s="310">
        <v>157.20128700000001</v>
      </c>
      <c r="D27" s="310">
        <v>163029.88901479999</v>
      </c>
      <c r="E27" s="310">
        <v>1.49550346E-2</v>
      </c>
      <c r="F27" s="310">
        <v>0.75</v>
      </c>
      <c r="G27" s="310">
        <v>0.22</v>
      </c>
      <c r="H27" s="310" t="s">
        <v>235</v>
      </c>
      <c r="I27" s="310" t="s">
        <v>235</v>
      </c>
      <c r="J27" s="310" t="s">
        <v>235</v>
      </c>
    </row>
    <row r="28" spans="1:10" s="330" customFormat="1">
      <c r="A28" s="631">
        <v>26</v>
      </c>
      <c r="B28" s="632" t="s">
        <v>438</v>
      </c>
      <c r="C28" s="310">
        <v>96.415716000000003</v>
      </c>
      <c r="D28" s="310">
        <v>89773.478966499999</v>
      </c>
      <c r="E28" s="310">
        <v>8.2350879999999998E-3</v>
      </c>
      <c r="F28" s="310">
        <v>0.21</v>
      </c>
      <c r="G28" s="310">
        <v>0</v>
      </c>
      <c r="H28" s="310" t="s">
        <v>235</v>
      </c>
      <c r="I28" s="310" t="s">
        <v>235</v>
      </c>
      <c r="J28" s="310" t="s">
        <v>235</v>
      </c>
    </row>
    <row r="29" spans="1:10" s="330" customFormat="1">
      <c r="A29" s="631">
        <v>27</v>
      </c>
      <c r="B29" s="632" t="s">
        <v>431</v>
      </c>
      <c r="C29" s="310">
        <v>9696.6661339999991</v>
      </c>
      <c r="D29" s="310">
        <v>196886.5985082</v>
      </c>
      <c r="E29" s="310">
        <v>1.8060773499999998E-2</v>
      </c>
      <c r="F29" s="310">
        <v>1.55</v>
      </c>
      <c r="G29" s="310">
        <v>0.42</v>
      </c>
      <c r="H29" s="310" t="s">
        <v>235</v>
      </c>
      <c r="I29" s="310" t="s">
        <v>235</v>
      </c>
      <c r="J29" s="310" t="s">
        <v>235</v>
      </c>
    </row>
    <row r="30" spans="1:10" s="330" customFormat="1">
      <c r="A30" s="631">
        <v>28</v>
      </c>
      <c r="B30" s="632" t="s">
        <v>443</v>
      </c>
      <c r="C30" s="310">
        <v>6290.1396029999996</v>
      </c>
      <c r="D30" s="310">
        <v>128202.846579675</v>
      </c>
      <c r="E30" s="310">
        <v>1.1760285299999999E-2</v>
      </c>
      <c r="F30" s="310">
        <v>1.76</v>
      </c>
      <c r="G30" s="310">
        <v>0.41</v>
      </c>
      <c r="H30" s="310" t="s">
        <v>235</v>
      </c>
      <c r="I30" s="310" t="s">
        <v>235</v>
      </c>
      <c r="J30" s="310" t="s">
        <v>235</v>
      </c>
    </row>
    <row r="31" spans="1:10" s="330" customFormat="1">
      <c r="A31" s="631">
        <v>29</v>
      </c>
      <c r="B31" s="632" t="s">
        <v>437</v>
      </c>
      <c r="C31" s="310">
        <v>9300.6038189999999</v>
      </c>
      <c r="D31" s="310">
        <v>152685.22758537999</v>
      </c>
      <c r="E31" s="310">
        <v>1.40060996E-2</v>
      </c>
      <c r="F31" s="310">
        <v>1.25</v>
      </c>
      <c r="G31" s="310">
        <v>0.16</v>
      </c>
      <c r="H31" s="310" t="s">
        <v>235</v>
      </c>
      <c r="I31" s="310" t="s">
        <v>235</v>
      </c>
      <c r="J31" s="310" t="s">
        <v>235</v>
      </c>
    </row>
    <row r="32" spans="1:10" s="330" customFormat="1">
      <c r="A32" s="631">
        <v>30</v>
      </c>
      <c r="B32" s="632" t="s">
        <v>412</v>
      </c>
      <c r="C32" s="310">
        <v>6765.8167579999999</v>
      </c>
      <c r="D32" s="310">
        <v>1039536.058916225</v>
      </c>
      <c r="E32" s="310">
        <v>9.5358573899999993E-2</v>
      </c>
      <c r="F32" s="310">
        <v>1.1499999999999999</v>
      </c>
      <c r="G32" s="310">
        <v>0.53</v>
      </c>
      <c r="H32" s="310" t="s">
        <v>235</v>
      </c>
      <c r="I32" s="310" t="s">
        <v>235</v>
      </c>
      <c r="J32" s="310" t="s">
        <v>235</v>
      </c>
    </row>
    <row r="33" spans="1:10" s="330" customFormat="1">
      <c r="A33" s="631">
        <v>31</v>
      </c>
      <c r="B33" s="632" t="s">
        <v>420</v>
      </c>
      <c r="C33" s="310">
        <v>892.46124339999994</v>
      </c>
      <c r="D33" s="310">
        <v>313346.05391603999</v>
      </c>
      <c r="E33" s="310">
        <v>2.8743815700000001E-2</v>
      </c>
      <c r="F33" s="310">
        <v>1.46</v>
      </c>
      <c r="G33" s="310">
        <v>0.48</v>
      </c>
      <c r="H33" s="310" t="s">
        <v>235</v>
      </c>
      <c r="I33" s="310" t="s">
        <v>235</v>
      </c>
      <c r="J33" s="310" t="s">
        <v>235</v>
      </c>
    </row>
    <row r="34" spans="1:10" s="330" customFormat="1">
      <c r="A34" s="631">
        <v>32</v>
      </c>
      <c r="B34" s="632" t="s">
        <v>428</v>
      </c>
      <c r="C34" s="310">
        <v>239.93349699999999</v>
      </c>
      <c r="D34" s="310">
        <v>198955.30289024999</v>
      </c>
      <c r="E34" s="310">
        <v>1.8250539600000001E-2</v>
      </c>
      <c r="F34" s="310">
        <v>0.45</v>
      </c>
      <c r="G34" s="310">
        <v>0.1</v>
      </c>
      <c r="H34" s="310" t="s">
        <v>235</v>
      </c>
      <c r="I34" s="310" t="s">
        <v>235</v>
      </c>
      <c r="J34" s="310" t="s">
        <v>235</v>
      </c>
    </row>
    <row r="35" spans="1:10" s="330" customFormat="1">
      <c r="A35" s="631">
        <v>33</v>
      </c>
      <c r="B35" s="632" t="s">
        <v>430</v>
      </c>
      <c r="C35" s="310">
        <v>664.93170559999999</v>
      </c>
      <c r="D35" s="310">
        <v>198010.84029068999</v>
      </c>
      <c r="E35" s="310">
        <v>1.8163902199999998E-2</v>
      </c>
      <c r="F35" s="310">
        <v>1.06</v>
      </c>
      <c r="G35" s="310">
        <v>0.26</v>
      </c>
      <c r="H35" s="310" t="s">
        <v>235</v>
      </c>
      <c r="I35" s="310" t="s">
        <v>235</v>
      </c>
      <c r="J35" s="310" t="s">
        <v>235</v>
      </c>
    </row>
    <row r="36" spans="1:10" s="330" customFormat="1">
      <c r="A36" s="631">
        <v>34</v>
      </c>
      <c r="B36" s="632" t="s">
        <v>432</v>
      </c>
      <c r="C36" s="310">
        <v>1248.3527171000001</v>
      </c>
      <c r="D36" s="310">
        <v>127373.79798422501</v>
      </c>
      <c r="E36" s="310">
        <v>1.1684235100000001E-2</v>
      </c>
      <c r="F36" s="310">
        <v>1.54</v>
      </c>
      <c r="G36" s="310">
        <v>0.49</v>
      </c>
      <c r="H36" s="310" t="s">
        <v>235</v>
      </c>
      <c r="I36" s="310" t="s">
        <v>235</v>
      </c>
      <c r="J36" s="310" t="s">
        <v>235</v>
      </c>
    </row>
    <row r="37" spans="1:10" s="330" customFormat="1">
      <c r="A37" s="631">
        <v>35</v>
      </c>
      <c r="B37" s="632" t="s">
        <v>415</v>
      </c>
      <c r="C37" s="310">
        <v>361.80875179999998</v>
      </c>
      <c r="D37" s="310">
        <v>465138.37114800001</v>
      </c>
      <c r="E37" s="310">
        <v>4.26680069E-2</v>
      </c>
      <c r="F37" s="310">
        <v>0.61</v>
      </c>
      <c r="G37" s="310">
        <v>0.16</v>
      </c>
      <c r="H37" s="310" t="s">
        <v>235</v>
      </c>
      <c r="I37" s="310" t="s">
        <v>235</v>
      </c>
      <c r="J37" s="310" t="s">
        <v>235</v>
      </c>
    </row>
    <row r="38" spans="1:10" s="330" customFormat="1">
      <c r="A38" s="631">
        <v>36</v>
      </c>
      <c r="B38" s="632" t="s">
        <v>440</v>
      </c>
      <c r="C38" s="310">
        <v>489.10618499999998</v>
      </c>
      <c r="D38" s="310">
        <v>103685.8268565</v>
      </c>
      <c r="E38" s="310">
        <v>9.5112935000000003E-3</v>
      </c>
      <c r="F38" s="310">
        <v>0.88</v>
      </c>
      <c r="G38" s="310">
        <v>0.22</v>
      </c>
      <c r="H38" s="310" t="s">
        <v>235</v>
      </c>
      <c r="I38" s="310" t="s">
        <v>235</v>
      </c>
      <c r="J38" s="310" t="s">
        <v>235</v>
      </c>
    </row>
    <row r="39" spans="1:10" s="330" customFormat="1">
      <c r="A39" s="631">
        <v>37</v>
      </c>
      <c r="B39" s="632" t="s">
        <v>427</v>
      </c>
      <c r="C39" s="310">
        <v>88.778616</v>
      </c>
      <c r="D39" s="310">
        <v>149077.59219055</v>
      </c>
      <c r="E39" s="310">
        <v>1.36751645E-2</v>
      </c>
      <c r="F39" s="310">
        <v>0.68</v>
      </c>
      <c r="G39" s="310">
        <v>0.16</v>
      </c>
      <c r="H39" s="310" t="s">
        <v>235</v>
      </c>
      <c r="I39" s="310" t="s">
        <v>235</v>
      </c>
      <c r="J39" s="310" t="s">
        <v>235</v>
      </c>
    </row>
    <row r="40" spans="1:10" s="330" customFormat="1">
      <c r="A40" s="631">
        <v>38</v>
      </c>
      <c r="B40" s="632" t="s">
        <v>920</v>
      </c>
      <c r="C40" s="310">
        <v>35.548746100000002</v>
      </c>
      <c r="D40" s="310">
        <v>160302.03805837501</v>
      </c>
      <c r="E40" s="310">
        <v>1.4704803799999999E-2</v>
      </c>
      <c r="F40" s="310">
        <v>1.43</v>
      </c>
      <c r="G40" s="310">
        <v>0.16</v>
      </c>
      <c r="H40" s="310" t="s">
        <v>235</v>
      </c>
      <c r="I40" s="310" t="s">
        <v>235</v>
      </c>
      <c r="J40" s="310" t="s">
        <v>235</v>
      </c>
    </row>
    <row r="41" spans="1:10" s="330" customFormat="1">
      <c r="A41" s="633">
        <v>39</v>
      </c>
      <c r="B41" s="634" t="s">
        <v>433</v>
      </c>
      <c r="C41" s="310">
        <v>288.697318</v>
      </c>
      <c r="D41" s="310">
        <v>133476.93198098999</v>
      </c>
      <c r="E41" s="310">
        <v>1.2244086899999999E-2</v>
      </c>
      <c r="F41" s="310">
        <v>1.1200000000000001</v>
      </c>
      <c r="G41" s="310">
        <v>0.42</v>
      </c>
      <c r="H41" s="310" t="s">
        <v>235</v>
      </c>
      <c r="I41" s="310" t="s">
        <v>235</v>
      </c>
      <c r="J41" s="310" t="s">
        <v>235</v>
      </c>
    </row>
    <row r="42" spans="1:10" s="330" customFormat="1">
      <c r="A42" s="396">
        <v>40</v>
      </c>
      <c r="B42" s="397" t="s">
        <v>441</v>
      </c>
      <c r="C42" s="310">
        <v>1046.1823285999999</v>
      </c>
      <c r="D42" s="310">
        <v>76566.152205519989</v>
      </c>
      <c r="E42" s="310">
        <v>7.0235554E-3</v>
      </c>
      <c r="F42" s="310">
        <v>1.0900000000000001</v>
      </c>
      <c r="G42" s="310">
        <v>0.28000000000000003</v>
      </c>
      <c r="H42" s="310" t="s">
        <v>235</v>
      </c>
      <c r="I42" s="310" t="s">
        <v>235</v>
      </c>
      <c r="J42" s="310" t="s">
        <v>235</v>
      </c>
    </row>
    <row r="43" spans="1:10" s="330" customFormat="1">
      <c r="A43" s="295"/>
      <c r="B43" s="296"/>
      <c r="C43" s="297"/>
      <c r="D43" s="297"/>
      <c r="E43" s="298"/>
      <c r="F43" s="299"/>
      <c r="G43" s="299"/>
      <c r="H43" s="299"/>
      <c r="I43" s="299"/>
      <c r="J43" s="296"/>
    </row>
    <row r="44" spans="1:10" s="330" customFormat="1">
      <c r="A44" s="1344" t="s">
        <v>81</v>
      </c>
      <c r="B44" s="1344"/>
      <c r="C44" s="1344"/>
      <c r="D44" s="1344"/>
      <c r="E44" s="1344"/>
      <c r="F44" s="1344"/>
      <c r="G44" s="1344"/>
      <c r="H44" s="1344"/>
      <c r="I44" s="1344"/>
      <c r="J44" s="1344"/>
    </row>
    <row r="45" spans="1:10" s="330" customFormat="1">
      <c r="A45" s="1344" t="s">
        <v>447</v>
      </c>
      <c r="B45" s="1344"/>
      <c r="C45" s="1344"/>
      <c r="D45" s="1344"/>
      <c r="E45" s="1344"/>
      <c r="F45" s="1344"/>
      <c r="G45" s="1344"/>
      <c r="H45" s="1344"/>
      <c r="I45" s="1344"/>
      <c r="J45" s="1344"/>
    </row>
    <row r="46" spans="1:10" s="330" customFormat="1">
      <c r="A46" s="1344" t="s">
        <v>448</v>
      </c>
      <c r="B46" s="1344"/>
      <c r="C46" s="1344"/>
      <c r="D46" s="1344"/>
      <c r="E46" s="1344"/>
      <c r="F46" s="1344"/>
      <c r="G46" s="1344"/>
      <c r="H46" s="1344"/>
      <c r="I46" s="1344"/>
      <c r="J46" s="1344"/>
    </row>
    <row r="47" spans="1:10" s="330" customFormat="1">
      <c r="A47" s="1344" t="s">
        <v>449</v>
      </c>
      <c r="B47" s="1344"/>
      <c r="C47" s="1344"/>
      <c r="D47" s="1344"/>
      <c r="E47" s="1344"/>
      <c r="F47" s="1344"/>
      <c r="G47" s="1344"/>
      <c r="H47" s="1344"/>
      <c r="I47" s="1344"/>
      <c r="J47" s="1344"/>
    </row>
    <row r="48" spans="1:10" s="330" customFormat="1">
      <c r="A48" s="1344" t="s">
        <v>450</v>
      </c>
      <c r="B48" s="1344"/>
      <c r="C48" s="1344"/>
      <c r="D48" s="1344"/>
      <c r="E48" s="1344"/>
      <c r="F48" s="1344"/>
      <c r="G48" s="1344"/>
      <c r="H48" s="1344"/>
      <c r="I48" s="1344"/>
      <c r="J48" s="1344"/>
    </row>
    <row r="49" spans="1:10" s="330" customFormat="1">
      <c r="A49" s="1308" t="s">
        <v>308</v>
      </c>
      <c r="B49" s="1308"/>
      <c r="C49" s="1308"/>
      <c r="D49" s="1308"/>
      <c r="E49" s="1308"/>
      <c r="F49" s="1308"/>
      <c r="G49" s="1308"/>
      <c r="H49" s="1308"/>
      <c r="I49" s="1308"/>
      <c r="J49" s="1308"/>
    </row>
    <row r="50" spans="1:10" s="330" customFormat="1"/>
  </sheetData>
  <mergeCells count="6">
    <mergeCell ref="A49:J49"/>
    <mergeCell ref="A44:J44"/>
    <mergeCell ref="A45:J45"/>
    <mergeCell ref="A46:J46"/>
    <mergeCell ref="A47:J47"/>
    <mergeCell ref="A48:J48"/>
  </mergeCells>
  <printOptions horizontalCentered="1"/>
  <pageMargins left="0.78431372549019618" right="0.78431372549019618" top="0.98039215686274517" bottom="0.98039215686274517" header="0.50980392156862753" footer="0.50980392156862753"/>
  <pageSetup paperSize="9" scale="94" fitToHeight="0" orientation="landscape" useFirstPageNumber="1" r:id="rId1"/>
  <headerFooter alignWithMargins="0"/>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22"/>
  <sheetViews>
    <sheetView workbookViewId="0"/>
  </sheetViews>
  <sheetFormatPr defaultColWidth="9.140625" defaultRowHeight="15"/>
  <cols>
    <col min="1" max="10" width="10.5703125" style="92" bestFit="1" customWidth="1"/>
    <col min="11" max="11" width="4.5703125" style="92" bestFit="1" customWidth="1"/>
    <col min="12" max="16384" width="9.140625" style="92"/>
  </cols>
  <sheetData>
    <row r="1" spans="1:10" ht="15.75" customHeight="1">
      <c r="A1" s="148" t="s">
        <v>451</v>
      </c>
      <c r="B1" s="148"/>
      <c r="C1" s="148"/>
      <c r="D1" s="148"/>
      <c r="E1" s="148"/>
      <c r="F1" s="148"/>
      <c r="G1" s="148"/>
    </row>
    <row r="2" spans="1:10" s="330" customFormat="1">
      <c r="A2" s="1313" t="s">
        <v>142</v>
      </c>
      <c r="B2" s="1315" t="s">
        <v>73</v>
      </c>
      <c r="C2" s="1316"/>
      <c r="D2" s="1317"/>
      <c r="E2" s="1315" t="s">
        <v>74</v>
      </c>
      <c r="F2" s="1316"/>
      <c r="G2" s="1317"/>
      <c r="H2" s="1315" t="s">
        <v>75</v>
      </c>
      <c r="I2" s="1316"/>
      <c r="J2" s="1317"/>
    </row>
    <row r="3" spans="1:10" s="330" customFormat="1" ht="48.75" customHeight="1">
      <c r="A3" s="1314"/>
      <c r="B3" s="635" t="s">
        <v>452</v>
      </c>
      <c r="C3" s="635" t="s">
        <v>453</v>
      </c>
      <c r="D3" s="635" t="s">
        <v>454</v>
      </c>
      <c r="E3" s="635" t="s">
        <v>452</v>
      </c>
      <c r="F3" s="635" t="s">
        <v>453</v>
      </c>
      <c r="G3" s="635" t="s">
        <v>454</v>
      </c>
      <c r="H3" s="635" t="s">
        <v>452</v>
      </c>
      <c r="I3" s="635" t="s">
        <v>453</v>
      </c>
      <c r="J3" s="635" t="s">
        <v>454</v>
      </c>
    </row>
    <row r="4" spans="1:10" s="97" customFormat="1" ht="15.75" customHeight="1">
      <c r="A4" s="530" t="s">
        <v>518</v>
      </c>
      <c r="B4" s="535">
        <v>2772</v>
      </c>
      <c r="C4" s="535">
        <v>1284</v>
      </c>
      <c r="D4" s="636">
        <v>2.1588785046728973</v>
      </c>
      <c r="E4" s="637">
        <v>1768</v>
      </c>
      <c r="F4" s="637">
        <v>690</v>
      </c>
      <c r="G4" s="638">
        <v>2.5623188405797102</v>
      </c>
      <c r="H4" s="639">
        <v>3</v>
      </c>
      <c r="I4" s="639">
        <v>0</v>
      </c>
      <c r="J4" s="640" t="s">
        <v>745</v>
      </c>
    </row>
    <row r="5" spans="1:10" s="97" customFormat="1" ht="15.75" customHeight="1">
      <c r="A5" s="531" t="s">
        <v>743</v>
      </c>
      <c r="B5" s="535">
        <v>3223</v>
      </c>
      <c r="C5" s="535">
        <v>968</v>
      </c>
      <c r="D5" s="641">
        <f>IFERROR(B5/C5,"-")</f>
        <v>3.3295454545454546</v>
      </c>
      <c r="E5" s="535">
        <v>1949</v>
      </c>
      <c r="F5" s="535">
        <v>451</v>
      </c>
      <c r="G5" s="641">
        <f>IFERROR(E5/F5,"-")</f>
        <v>4.3215077605321506</v>
      </c>
      <c r="H5" s="535">
        <v>2</v>
      </c>
      <c r="I5" s="535">
        <v>3</v>
      </c>
      <c r="J5" s="641">
        <f>IFERROR(H5/I5,"0")</f>
        <v>0.66666666666666663</v>
      </c>
    </row>
    <row r="6" spans="1:10" s="330" customFormat="1" ht="15.75" customHeight="1">
      <c r="A6" s="174">
        <v>45412</v>
      </c>
      <c r="B6" s="320">
        <v>2840</v>
      </c>
      <c r="C6" s="328">
        <v>1246</v>
      </c>
      <c r="D6" s="300">
        <v>2.2792937399678972</v>
      </c>
      <c r="E6" s="320">
        <v>2081</v>
      </c>
      <c r="F6" s="320">
        <v>608</v>
      </c>
      <c r="G6" s="301">
        <v>3.42</v>
      </c>
      <c r="H6" s="315">
        <v>1</v>
      </c>
      <c r="I6" s="315" t="s">
        <v>235</v>
      </c>
      <c r="J6" s="302" t="s">
        <v>235</v>
      </c>
    </row>
    <row r="7" spans="1:10" s="330" customFormat="1" ht="15.75" customHeight="1">
      <c r="A7" s="174">
        <v>45443</v>
      </c>
      <c r="B7" s="328">
        <v>1955</v>
      </c>
      <c r="C7" s="328">
        <v>2146</v>
      </c>
      <c r="D7" s="300">
        <v>0.91099720410065232</v>
      </c>
      <c r="E7" s="320">
        <v>1388</v>
      </c>
      <c r="F7" s="320">
        <v>1330</v>
      </c>
      <c r="G7" s="301">
        <v>1.04</v>
      </c>
      <c r="H7" s="315" t="s">
        <v>235</v>
      </c>
      <c r="I7" s="315">
        <v>1</v>
      </c>
      <c r="J7" s="315" t="s">
        <v>235</v>
      </c>
    </row>
    <row r="8" spans="1:10" s="330" customFormat="1" ht="15.75" customHeight="1">
      <c r="A8" s="174">
        <v>45473</v>
      </c>
      <c r="B8" s="328">
        <v>2343</v>
      </c>
      <c r="C8" s="328">
        <v>1785</v>
      </c>
      <c r="D8" s="300">
        <v>1.3126050420168067</v>
      </c>
      <c r="E8" s="320">
        <v>1939</v>
      </c>
      <c r="F8" s="320">
        <v>1082</v>
      </c>
      <c r="G8" s="301">
        <v>1.79</v>
      </c>
      <c r="H8" s="315">
        <v>1</v>
      </c>
      <c r="I8" s="315">
        <v>1</v>
      </c>
      <c r="J8" s="302">
        <v>1</v>
      </c>
    </row>
    <row r="9" spans="1:10" s="330" customFormat="1" ht="15.75" customHeight="1">
      <c r="A9" s="174">
        <v>45504</v>
      </c>
      <c r="B9" s="328">
        <v>2975</v>
      </c>
      <c r="C9" s="328">
        <v>1175</v>
      </c>
      <c r="D9" s="313">
        <v>2.5319148936170213</v>
      </c>
      <c r="E9" s="320">
        <v>2322</v>
      </c>
      <c r="F9" s="320">
        <v>746</v>
      </c>
      <c r="G9" s="301">
        <v>3.11</v>
      </c>
      <c r="H9" s="315">
        <v>2</v>
      </c>
      <c r="I9" s="315">
        <v>1</v>
      </c>
      <c r="J9" s="302">
        <v>2</v>
      </c>
    </row>
    <row r="10" spans="1:10" s="330" customFormat="1" ht="15.75" customHeight="1">
      <c r="A10" s="174">
        <v>45535</v>
      </c>
      <c r="B10" s="328">
        <v>2177</v>
      </c>
      <c r="C10" s="328">
        <v>1986</v>
      </c>
      <c r="D10" s="328">
        <v>1.096173212487412</v>
      </c>
      <c r="E10" s="328">
        <v>1610</v>
      </c>
      <c r="F10" s="328">
        <v>1453</v>
      </c>
      <c r="G10" s="328">
        <v>1.1100000000000001</v>
      </c>
      <c r="H10" s="328">
        <v>0</v>
      </c>
      <c r="I10" s="328">
        <v>2</v>
      </c>
      <c r="J10" s="328">
        <v>0</v>
      </c>
    </row>
    <row r="11" spans="1:10" s="330" customFormat="1" ht="19.5" customHeight="1">
      <c r="A11" s="174">
        <v>45565</v>
      </c>
      <c r="B11" s="328"/>
      <c r="C11" s="328"/>
      <c r="D11" s="300"/>
      <c r="E11" s="320"/>
      <c r="F11" s="320"/>
      <c r="G11" s="301"/>
      <c r="H11" s="315"/>
      <c r="I11" s="315"/>
      <c r="J11" s="302"/>
    </row>
    <row r="12" spans="1:10" s="330" customFormat="1" ht="18" customHeight="1">
      <c r="A12" s="174">
        <v>45596</v>
      </c>
      <c r="B12" s="328"/>
      <c r="C12" s="328"/>
      <c r="D12" s="300"/>
      <c r="E12" s="320"/>
      <c r="F12" s="320"/>
      <c r="G12" s="301"/>
      <c r="H12" s="315"/>
      <c r="I12" s="315"/>
      <c r="J12" s="302"/>
    </row>
    <row r="13" spans="1:10" s="330" customFormat="1" ht="18" customHeight="1">
      <c r="A13" s="174">
        <v>45626</v>
      </c>
      <c r="B13" s="328"/>
      <c r="C13" s="328"/>
      <c r="D13" s="300"/>
      <c r="E13" s="320"/>
      <c r="F13" s="320"/>
      <c r="G13" s="301"/>
      <c r="H13" s="315"/>
      <c r="I13" s="315"/>
      <c r="J13" s="302"/>
    </row>
    <row r="14" spans="1:10" s="330" customFormat="1">
      <c r="A14" s="174">
        <v>45657</v>
      </c>
      <c r="B14" s="328"/>
      <c r="C14" s="328"/>
      <c r="D14" s="300"/>
      <c r="E14" s="320"/>
      <c r="F14" s="320"/>
      <c r="G14" s="301"/>
      <c r="H14" s="315"/>
      <c r="I14" s="315"/>
      <c r="J14" s="302"/>
    </row>
    <row r="15" spans="1:10" s="330" customFormat="1">
      <c r="A15" s="174">
        <v>45688</v>
      </c>
      <c r="B15" s="328"/>
      <c r="C15" s="328"/>
      <c r="D15" s="300"/>
      <c r="E15" s="320"/>
      <c r="F15" s="320"/>
      <c r="G15" s="301"/>
      <c r="H15" s="315"/>
      <c r="I15" s="315"/>
      <c r="J15" s="302"/>
    </row>
    <row r="16" spans="1:10" s="330" customFormat="1">
      <c r="A16" s="174">
        <v>45716</v>
      </c>
      <c r="B16" s="328"/>
      <c r="C16" s="328"/>
      <c r="D16" s="300"/>
      <c r="E16" s="320"/>
      <c r="F16" s="320"/>
      <c r="G16" s="301"/>
      <c r="H16" s="315"/>
      <c r="I16" s="315"/>
      <c r="J16" s="302"/>
    </row>
    <row r="17" spans="1:10" s="330" customFormat="1">
      <c r="A17" s="174">
        <v>45747</v>
      </c>
      <c r="B17" s="328"/>
      <c r="C17" s="328"/>
      <c r="D17" s="300"/>
      <c r="E17" s="320"/>
      <c r="F17" s="320"/>
      <c r="G17" s="301"/>
      <c r="H17" s="315"/>
      <c r="I17" s="315"/>
      <c r="J17" s="302"/>
    </row>
    <row r="18" spans="1:10" s="330" customFormat="1">
      <c r="A18" s="743" t="str">
        <f>"$ indicates as on "&amp;TEXT(IF(COUNT(B6:B17)=1,A6,IF(COUNT(B6:B17)=2,A7,IF(COUNT(B6:B17)=3,A8,IF(COUNT(B6:B17)=4,A9,IF(COUNT(B6:B17)=5,A10,IF(COUNT(B6:B17)=6,A11,IF(COUNT(B6:B17)=7,A12,IF(COUNT(B6:B17)=8,A13,IF(COUNT(B6:B17)=9,A14,IF(COUNT(B6:B17)=10,A15,IF(COUNT(B6:B17)=11,A16,A17))))))))))),"mmmm dd, yyyy")</f>
        <v>$ indicates as on August 31, 2024</v>
      </c>
      <c r="B18" s="332"/>
      <c r="C18" s="332"/>
      <c r="D18" s="363"/>
      <c r="E18" s="364"/>
      <c r="F18" s="364"/>
      <c r="G18" s="365"/>
      <c r="H18" s="358"/>
      <c r="I18" s="358"/>
      <c r="J18" s="366"/>
    </row>
    <row r="19" spans="1:10" s="330" customFormat="1">
      <c r="A19" s="146" t="s">
        <v>455</v>
      </c>
      <c r="B19" s="146"/>
      <c r="C19" s="146"/>
      <c r="D19" s="146"/>
      <c r="E19" s="146"/>
      <c r="F19" s="146"/>
    </row>
    <row r="20" spans="1:10" s="330" customFormat="1">
      <c r="A20" s="1293" t="s">
        <v>169</v>
      </c>
      <c r="B20" s="1293"/>
      <c r="C20" s="1293"/>
      <c r="D20" s="1293"/>
      <c r="E20" s="1293"/>
      <c r="F20" s="1293"/>
    </row>
    <row r="21" spans="1:10" s="330" customFormat="1">
      <c r="A21" s="419"/>
    </row>
    <row r="22" spans="1:10" s="330" customFormat="1">
      <c r="A22" s="92"/>
      <c r="B22" s="92"/>
      <c r="C22" s="92"/>
      <c r="D22" s="92"/>
      <c r="E22" s="92"/>
      <c r="F22" s="92"/>
      <c r="G22" s="92"/>
    </row>
  </sheetData>
  <mergeCells count="5">
    <mergeCell ref="A2:A3"/>
    <mergeCell ref="B2:D2"/>
    <mergeCell ref="E2:G2"/>
    <mergeCell ref="H2:J2"/>
    <mergeCell ref="A20:F20"/>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22"/>
  <sheetViews>
    <sheetView workbookViewId="0"/>
  </sheetViews>
  <sheetFormatPr defaultColWidth="9.140625" defaultRowHeight="15"/>
  <cols>
    <col min="1" max="1" width="9.85546875" style="92" bestFit="1" customWidth="1"/>
    <col min="2" max="10" width="13.5703125" style="92" bestFit="1" customWidth="1"/>
    <col min="11" max="16384" width="9.140625" style="92"/>
  </cols>
  <sheetData>
    <row r="1" spans="1:12" ht="13.5" customHeight="1">
      <c r="A1" s="148" t="s">
        <v>456</v>
      </c>
      <c r="B1" s="148"/>
      <c r="C1" s="148"/>
      <c r="D1" s="148"/>
      <c r="E1" s="148"/>
      <c r="F1" s="148"/>
      <c r="G1" s="148"/>
    </row>
    <row r="2" spans="1:12" s="330" customFormat="1" ht="27.75" customHeight="1">
      <c r="A2" s="1328" t="s">
        <v>457</v>
      </c>
      <c r="B2" s="1315" t="s">
        <v>73</v>
      </c>
      <c r="C2" s="1316"/>
      <c r="D2" s="1317"/>
      <c r="E2" s="1315" t="s">
        <v>74</v>
      </c>
      <c r="F2" s="1316"/>
      <c r="G2" s="1317"/>
      <c r="H2" s="1315" t="s">
        <v>75</v>
      </c>
      <c r="I2" s="1316"/>
      <c r="J2" s="1317"/>
    </row>
    <row r="3" spans="1:12" s="330" customFormat="1" ht="48" customHeight="1">
      <c r="A3" s="1329"/>
      <c r="B3" s="635" t="s">
        <v>458</v>
      </c>
      <c r="C3" s="635" t="s">
        <v>267</v>
      </c>
      <c r="D3" s="635" t="s">
        <v>459</v>
      </c>
      <c r="E3" s="635" t="s">
        <v>458</v>
      </c>
      <c r="F3" s="635" t="s">
        <v>460</v>
      </c>
      <c r="G3" s="635" t="s">
        <v>459</v>
      </c>
      <c r="H3" s="635" t="s">
        <v>458</v>
      </c>
      <c r="I3" s="635" t="s">
        <v>267</v>
      </c>
      <c r="J3" s="635" t="s">
        <v>459</v>
      </c>
    </row>
    <row r="4" spans="1:12" s="97" customFormat="1" ht="18" customHeight="1">
      <c r="A4" s="530" t="s">
        <v>518</v>
      </c>
      <c r="B4" s="535">
        <v>5252</v>
      </c>
      <c r="C4" s="535">
        <v>4295</v>
      </c>
      <c r="D4" s="642">
        <v>81.778370144706784</v>
      </c>
      <c r="E4" s="535">
        <v>2439</v>
      </c>
      <c r="F4" s="535">
        <v>2985</v>
      </c>
      <c r="G4" s="643">
        <v>122.38622386223864</v>
      </c>
      <c r="H4" s="593">
        <v>266</v>
      </c>
      <c r="I4" s="593">
        <v>7</v>
      </c>
      <c r="J4" s="643">
        <v>2.6315789473684208</v>
      </c>
    </row>
    <row r="5" spans="1:12" s="97" customFormat="1" ht="18" customHeight="1">
      <c r="A5" s="531" t="s">
        <v>743</v>
      </c>
      <c r="B5" s="537">
        <f>INDEX(B6:B17,COUNT(B6:B17))</f>
        <v>5316</v>
      </c>
      <c r="C5" s="535">
        <v>4289</v>
      </c>
      <c r="D5" s="224">
        <f t="shared" ref="D5:D10" si="0">C5/B5*100</f>
        <v>80.680963130173069</v>
      </c>
      <c r="E5" s="537">
        <f>INDEX(E6:E17,COUNT(E6:E17))</f>
        <v>2559</v>
      </c>
      <c r="F5" s="535">
        <v>3446</v>
      </c>
      <c r="G5" s="224">
        <f t="shared" ref="G5:G10" si="1">F5/E5*100</f>
        <v>134.66197733489645</v>
      </c>
      <c r="H5" s="537">
        <f>INDEX(H6:H17,COUNT(H6:H17))</f>
        <v>265</v>
      </c>
      <c r="I5" s="593">
        <v>7</v>
      </c>
      <c r="J5" s="224">
        <f>I5/H5*100</f>
        <v>2.6415094339622645</v>
      </c>
      <c r="K5" s="147"/>
      <c r="L5" s="147"/>
    </row>
    <row r="6" spans="1:12" s="330" customFormat="1" ht="18" customHeight="1">
      <c r="A6" s="174">
        <v>45412</v>
      </c>
      <c r="B6" s="328">
        <v>5264</v>
      </c>
      <c r="C6" s="328">
        <v>4153</v>
      </c>
      <c r="D6" s="303">
        <f t="shared" si="0"/>
        <v>78.894376899696056</v>
      </c>
      <c r="E6" s="320">
        <v>2464</v>
      </c>
      <c r="F6" s="328">
        <v>2625</v>
      </c>
      <c r="G6" s="303">
        <f t="shared" si="1"/>
        <v>106.53409090909092</v>
      </c>
      <c r="H6" s="315">
        <v>266</v>
      </c>
      <c r="I6" s="315">
        <v>1</v>
      </c>
      <c r="J6" s="303">
        <v>0.37593984962406013</v>
      </c>
      <c r="K6" s="147"/>
      <c r="L6" s="147"/>
    </row>
    <row r="7" spans="1:12" s="330" customFormat="1" ht="18" customHeight="1">
      <c r="A7" s="174">
        <v>45443</v>
      </c>
      <c r="B7" s="328">
        <v>5274</v>
      </c>
      <c r="C7" s="328">
        <v>4170</v>
      </c>
      <c r="D7" s="303">
        <f t="shared" si="0"/>
        <v>79.067121729237769</v>
      </c>
      <c r="E7" s="320">
        <v>2482</v>
      </c>
      <c r="F7" s="328">
        <v>2995</v>
      </c>
      <c r="G7" s="303">
        <f t="shared" si="1"/>
        <v>120.66881547139403</v>
      </c>
      <c r="H7" s="315">
        <v>266</v>
      </c>
      <c r="I7" s="315">
        <v>2</v>
      </c>
      <c r="J7" s="303">
        <v>0.75187969924812026</v>
      </c>
      <c r="K7" s="147"/>
      <c r="L7" s="147"/>
    </row>
    <row r="8" spans="1:12" s="330" customFormat="1" ht="18" customHeight="1">
      <c r="A8" s="174">
        <v>45473</v>
      </c>
      <c r="B8" s="328">
        <v>5293</v>
      </c>
      <c r="C8" s="328">
        <v>4200</v>
      </c>
      <c r="D8" s="303">
        <f t="shared" si="0"/>
        <v>79.350085017948231</v>
      </c>
      <c r="E8" s="320">
        <v>2499</v>
      </c>
      <c r="F8" s="328">
        <v>2998</v>
      </c>
      <c r="G8" s="303">
        <f t="shared" si="1"/>
        <v>119.96798719487796</v>
      </c>
      <c r="H8" s="315">
        <v>266</v>
      </c>
      <c r="I8" s="315">
        <v>5</v>
      </c>
      <c r="J8" s="303">
        <v>1.8796992481203008</v>
      </c>
      <c r="K8" s="147"/>
      <c r="L8" s="147"/>
    </row>
    <row r="9" spans="1:12" s="330" customFormat="1" ht="18" customHeight="1">
      <c r="A9" s="174">
        <v>45504</v>
      </c>
      <c r="B9" s="328">
        <v>5307</v>
      </c>
      <c r="C9" s="328">
        <v>4208</v>
      </c>
      <c r="D9" s="303">
        <f t="shared" si="0"/>
        <v>79.29150179008856</v>
      </c>
      <c r="E9" s="320">
        <v>2529</v>
      </c>
      <c r="F9" s="320">
        <v>3093</v>
      </c>
      <c r="G9" s="303">
        <f t="shared" si="1"/>
        <v>122.30130486358244</v>
      </c>
      <c r="H9" s="313">
        <v>266</v>
      </c>
      <c r="I9" s="328">
        <v>5</v>
      </c>
      <c r="J9" s="313">
        <v>1.8796992481203008</v>
      </c>
      <c r="K9" s="147"/>
      <c r="L9" s="147"/>
    </row>
    <row r="10" spans="1:12" s="330" customFormat="1">
      <c r="A10" s="174">
        <v>45535</v>
      </c>
      <c r="B10" s="328">
        <v>5316</v>
      </c>
      <c r="C10" s="328">
        <v>4227</v>
      </c>
      <c r="D10" s="328">
        <f t="shared" si="0"/>
        <v>79.514672686230242</v>
      </c>
      <c r="E10" s="328">
        <v>2559</v>
      </c>
      <c r="F10" s="328">
        <v>3077</v>
      </c>
      <c r="G10" s="328">
        <f t="shared" si="1"/>
        <v>120.24228214146152</v>
      </c>
      <c r="H10" s="328">
        <v>265</v>
      </c>
      <c r="I10" s="328">
        <v>2</v>
      </c>
      <c r="J10" s="328">
        <v>0.75471698113207553</v>
      </c>
      <c r="K10" s="147"/>
      <c r="L10" s="147"/>
    </row>
    <row r="11" spans="1:12" s="330" customFormat="1">
      <c r="A11" s="174">
        <v>45565</v>
      </c>
      <c r="B11" s="328"/>
      <c r="C11" s="328"/>
      <c r="D11" s="303"/>
      <c r="E11" s="320"/>
      <c r="F11" s="320"/>
      <c r="G11" s="303"/>
      <c r="H11" s="315"/>
      <c r="I11" s="315"/>
      <c r="J11" s="303"/>
      <c r="K11" s="147"/>
      <c r="L11" s="147"/>
    </row>
    <row r="12" spans="1:12" s="330" customFormat="1">
      <c r="A12" s="174">
        <v>45596</v>
      </c>
      <c r="B12" s="328"/>
      <c r="C12" s="328"/>
      <c r="D12" s="303"/>
      <c r="E12" s="320"/>
      <c r="F12" s="328"/>
      <c r="G12" s="303"/>
      <c r="H12" s="315"/>
      <c r="I12" s="315"/>
      <c r="J12" s="303"/>
      <c r="K12" s="147"/>
      <c r="L12" s="147"/>
    </row>
    <row r="13" spans="1:12" s="330" customFormat="1" ht="13.5" customHeight="1">
      <c r="A13" s="174">
        <v>45626</v>
      </c>
      <c r="B13" s="328"/>
      <c r="C13" s="328"/>
      <c r="D13" s="303"/>
      <c r="E13" s="320"/>
      <c r="F13" s="328"/>
      <c r="G13" s="303"/>
      <c r="H13" s="315"/>
      <c r="I13" s="315"/>
      <c r="J13" s="303"/>
      <c r="K13" s="147"/>
      <c r="L13" s="147"/>
    </row>
    <row r="14" spans="1:12" s="330" customFormat="1">
      <c r="A14" s="174">
        <v>45657</v>
      </c>
      <c r="B14" s="328"/>
      <c r="C14" s="328"/>
      <c r="D14" s="303"/>
      <c r="E14" s="320"/>
      <c r="F14" s="328"/>
      <c r="G14" s="303"/>
      <c r="H14" s="315"/>
      <c r="I14" s="315"/>
      <c r="J14" s="303"/>
      <c r="K14" s="147"/>
      <c r="L14" s="147"/>
    </row>
    <row r="15" spans="1:12" s="330" customFormat="1">
      <c r="A15" s="174">
        <v>45688</v>
      </c>
      <c r="B15" s="328"/>
      <c r="C15" s="328"/>
      <c r="D15" s="303"/>
      <c r="E15" s="320"/>
      <c r="F15" s="328"/>
      <c r="G15" s="303"/>
      <c r="H15" s="315"/>
      <c r="I15" s="315"/>
      <c r="J15" s="303"/>
      <c r="K15" s="147"/>
      <c r="L15" s="147"/>
    </row>
    <row r="16" spans="1:12" s="330" customFormat="1">
      <c r="A16" s="174">
        <v>45716</v>
      </c>
      <c r="B16" s="328"/>
      <c r="C16" s="328"/>
      <c r="D16" s="303"/>
      <c r="E16" s="320"/>
      <c r="F16" s="328"/>
      <c r="G16" s="303"/>
      <c r="H16" s="315"/>
      <c r="I16" s="315"/>
      <c r="J16" s="303"/>
      <c r="K16" s="147"/>
      <c r="L16" s="147"/>
    </row>
    <row r="17" spans="1:12" s="330" customFormat="1">
      <c r="A17" s="174">
        <v>45747</v>
      </c>
      <c r="B17" s="328"/>
      <c r="C17" s="328"/>
      <c r="D17" s="303"/>
      <c r="E17" s="212"/>
      <c r="F17" s="212"/>
      <c r="G17" s="212"/>
      <c r="H17" s="315"/>
      <c r="I17" s="315"/>
      <c r="J17" s="303"/>
      <c r="K17" s="147"/>
      <c r="L17" s="147"/>
    </row>
    <row r="18" spans="1:12" s="330" customFormat="1" ht="15" customHeight="1">
      <c r="A18" s="743" t="str">
        <f>"$ indicates as on "&amp;TEXT(IF(COUNT(B6:B17)=1,A6,IF(COUNT(B6:B17)=2,A7,IF(COUNT(B6:B17)=3,A8,IF(COUNT(B6:B17)=4,A9,IF(COUNT(B6:B17)=5,A10,IF(COUNT(B6:B17)=6,A11,IF(COUNT(B6:B17)=7,A12,IF(COUNT(B6:B17)=8,A13,IF(COUNT(B6:B17)=9,A14,IF(COUNT(B6:B17)=10,A15,IF(COUNT(B6:B17)=11,A16,A17))))))))))),"mmmm dd, yyyy")</f>
        <v>$ indicates as on August 31, 2024</v>
      </c>
      <c r="B18" s="332"/>
      <c r="C18" s="332"/>
      <c r="D18" s="361"/>
      <c r="E18" s="364"/>
      <c r="F18" s="332"/>
      <c r="G18" s="361"/>
      <c r="H18" s="358"/>
      <c r="I18" s="358"/>
      <c r="J18" s="361"/>
      <c r="K18" s="147"/>
      <c r="L18" s="147"/>
    </row>
    <row r="19" spans="1:12" s="330" customFormat="1" ht="15" customHeight="1">
      <c r="A19" s="146" t="s">
        <v>264</v>
      </c>
      <c r="B19" s="146"/>
      <c r="C19" s="146"/>
      <c r="D19" s="146"/>
      <c r="E19" s="146"/>
      <c r="F19" s="146"/>
      <c r="G19" s="146"/>
    </row>
    <row r="20" spans="1:12" s="330" customFormat="1" ht="15" customHeight="1">
      <c r="A20" s="1322" t="s">
        <v>169</v>
      </c>
      <c r="B20" s="1322"/>
      <c r="C20" s="1322"/>
      <c r="D20" s="1322"/>
      <c r="E20" s="1322"/>
      <c r="F20" s="1322"/>
      <c r="G20" s="1322"/>
      <c r="H20" s="146"/>
      <c r="I20" s="146"/>
      <c r="J20" s="146"/>
    </row>
    <row r="21" spans="1:12" s="330" customFormat="1" ht="15" customHeight="1">
      <c r="A21" s="419"/>
    </row>
    <row r="22" spans="1:12" s="330" customFormat="1">
      <c r="A22" s="92"/>
      <c r="B22" s="92"/>
      <c r="C22" s="92"/>
      <c r="D22" s="92"/>
      <c r="E22" s="92"/>
      <c r="F22" s="92"/>
      <c r="G22" s="92"/>
    </row>
  </sheetData>
  <mergeCells count="5">
    <mergeCell ref="A2:A3"/>
    <mergeCell ref="B2:D2"/>
    <mergeCell ref="E2:G2"/>
    <mergeCell ref="H2:J2"/>
    <mergeCell ref="A20:G20"/>
  </mergeCells>
  <printOptions horizontalCentered="1"/>
  <pageMargins left="0.78431372549019618" right="0.78431372549019618" top="0.98039215686274517" bottom="0.98039215686274517" header="0.50980392156862753" footer="0.50980392156862753"/>
  <pageSetup paperSize="9" scale="80" orientation="landscape" useFirstPageNumber="1" r:id="rId1"/>
  <headerFooter alignWithMargins="0"/>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21"/>
  <sheetViews>
    <sheetView workbookViewId="0"/>
  </sheetViews>
  <sheetFormatPr defaultColWidth="9.140625" defaultRowHeight="15"/>
  <cols>
    <col min="1" max="8" width="14.5703125" style="92" bestFit="1" customWidth="1"/>
    <col min="9" max="9" width="10.85546875" style="92" customWidth="1"/>
    <col min="10" max="16384" width="9.140625" style="92"/>
  </cols>
  <sheetData>
    <row r="1" spans="1:10" ht="15.75" customHeight="1">
      <c r="A1" s="487" t="s">
        <v>461</v>
      </c>
      <c r="B1" s="487"/>
      <c r="C1" s="487"/>
      <c r="D1" s="488"/>
      <c r="E1" s="488"/>
      <c r="F1" s="488"/>
      <c r="G1" s="488"/>
      <c r="H1" s="488"/>
    </row>
    <row r="2" spans="1:10" s="330" customFormat="1" ht="38.25" customHeight="1">
      <c r="A2" s="538" t="s">
        <v>116</v>
      </c>
      <c r="B2" s="635" t="s">
        <v>462</v>
      </c>
      <c r="C2" s="635" t="s">
        <v>463</v>
      </c>
      <c r="D2" s="635" t="s">
        <v>464</v>
      </c>
      <c r="E2" s="532" t="s">
        <v>465</v>
      </c>
      <c r="F2" s="532" t="s">
        <v>466</v>
      </c>
      <c r="G2" s="532" t="s">
        <v>467</v>
      </c>
      <c r="H2" s="532" t="s">
        <v>468</v>
      </c>
    </row>
    <row r="3" spans="1:10" s="97" customFormat="1" ht="18" customHeight="1">
      <c r="A3" s="530" t="s">
        <v>518</v>
      </c>
      <c r="B3" s="176">
        <v>0.62412709274705258</v>
      </c>
      <c r="C3" s="176">
        <v>0.61750610039390652</v>
      </c>
      <c r="D3" s="176">
        <v>0.64135556155944995</v>
      </c>
      <c r="E3" s="644">
        <v>0.61679637815273303</v>
      </c>
      <c r="F3" s="644">
        <v>0.82938324319843104</v>
      </c>
      <c r="G3" s="644">
        <v>0.64060670458171098</v>
      </c>
      <c r="H3" s="644">
        <v>0.54</v>
      </c>
    </row>
    <row r="4" spans="1:10" s="97" customFormat="1" ht="18" customHeight="1">
      <c r="A4" s="531" t="s">
        <v>743</v>
      </c>
      <c r="B4" s="176">
        <v>1.0004797312541411</v>
      </c>
      <c r="C4" s="176">
        <v>1.0379297055543957</v>
      </c>
      <c r="D4" s="176">
        <v>1.0941015768404019</v>
      </c>
      <c r="E4" s="176">
        <v>1.0034963784797499</v>
      </c>
      <c r="F4" s="176">
        <v>1.49163945231509</v>
      </c>
      <c r="G4" s="176">
        <v>1.0915248516060101</v>
      </c>
      <c r="H4" s="176">
        <v>1.02651528527705</v>
      </c>
      <c r="I4" s="330"/>
      <c r="J4" s="330"/>
    </row>
    <row r="5" spans="1:10" s="330" customFormat="1" ht="18" customHeight="1">
      <c r="A5" s="174">
        <v>45412</v>
      </c>
      <c r="B5" s="304">
        <v>0.66487890792989146</v>
      </c>
      <c r="C5" s="304">
        <v>0.59553522173251039</v>
      </c>
      <c r="D5" s="304">
        <v>0.57968753784555982</v>
      </c>
      <c r="E5" s="304">
        <v>0.61078348183021303</v>
      </c>
      <c r="F5" s="304">
        <v>0.72036026245593698</v>
      </c>
      <c r="G5" s="304">
        <v>0.57071033715729602</v>
      </c>
      <c r="H5" s="304">
        <v>0.7</v>
      </c>
    </row>
    <row r="6" spans="1:10" s="330" customFormat="1" ht="18" customHeight="1">
      <c r="A6" s="174">
        <v>45443</v>
      </c>
      <c r="B6" s="304">
        <v>0.65549976586728997</v>
      </c>
      <c r="C6" s="304">
        <v>0.66922922756258785</v>
      </c>
      <c r="D6" s="304">
        <v>0.71596297989615454</v>
      </c>
      <c r="E6" s="304">
        <v>0.65017635650529604</v>
      </c>
      <c r="F6" s="304">
        <v>1.0234396316338601</v>
      </c>
      <c r="G6" s="304">
        <v>0.70526606614377896</v>
      </c>
      <c r="H6" s="304">
        <v>0.66</v>
      </c>
    </row>
    <row r="7" spans="1:10" s="330" customFormat="1" ht="18" customHeight="1">
      <c r="A7" s="174">
        <v>45473</v>
      </c>
      <c r="B7" s="304">
        <v>1.8513595453380733</v>
      </c>
      <c r="C7" s="304">
        <v>1.9434366224794528</v>
      </c>
      <c r="D7" s="304">
        <v>2.0676516282060695</v>
      </c>
      <c r="E7" s="304">
        <v>1.8279767981011701</v>
      </c>
      <c r="F7" s="304">
        <v>2.7769182139604802</v>
      </c>
      <c r="G7" s="304">
        <v>2.0178003880233999</v>
      </c>
      <c r="H7" s="304">
        <v>1.8507629376884337E-2</v>
      </c>
    </row>
    <row r="8" spans="1:10" s="330" customFormat="1" ht="18" customHeight="1">
      <c r="A8" s="174">
        <v>45504</v>
      </c>
      <c r="B8" s="304">
        <v>0.52294816494302698</v>
      </c>
      <c r="C8" s="304">
        <v>0.56192091792067966</v>
      </c>
      <c r="D8" s="304">
        <v>0.57765305637818443</v>
      </c>
      <c r="E8" s="304">
        <v>0.53408934553065701</v>
      </c>
      <c r="F8" s="304">
        <v>0.91207241699999997</v>
      </c>
      <c r="G8" s="304">
        <v>0.56506093800000001</v>
      </c>
      <c r="H8" s="304">
        <v>0.53</v>
      </c>
    </row>
    <row r="9" spans="1:10" s="330" customFormat="1" ht="19.5" customHeight="1">
      <c r="A9" s="174">
        <v>45535</v>
      </c>
      <c r="B9" s="304">
        <v>0.90818928246015618</v>
      </c>
      <c r="C9" s="304">
        <v>0.96766389105481765</v>
      </c>
      <c r="D9" s="304">
        <v>1.0194192355297458</v>
      </c>
      <c r="E9" s="304">
        <v>0.891807893478337</v>
      </c>
      <c r="F9" s="304">
        <v>1.2337533546058601</v>
      </c>
      <c r="G9" s="304">
        <v>0.99136039827081002</v>
      </c>
      <c r="H9" s="304">
        <f>0.00930337597144308*100</f>
        <v>0.93033759714430797</v>
      </c>
    </row>
    <row r="10" spans="1:10" s="330" customFormat="1" ht="18" customHeight="1">
      <c r="A10" s="174">
        <v>45565</v>
      </c>
      <c r="B10" s="304"/>
      <c r="C10" s="304"/>
      <c r="D10" s="304"/>
      <c r="E10" s="304"/>
      <c r="F10" s="304"/>
      <c r="G10" s="304"/>
      <c r="H10" s="304"/>
    </row>
    <row r="11" spans="1:10" s="330" customFormat="1" ht="18" customHeight="1">
      <c r="A11" s="174">
        <v>45596</v>
      </c>
      <c r="B11" s="304"/>
      <c r="C11" s="304"/>
      <c r="D11" s="304"/>
      <c r="E11" s="304"/>
      <c r="F11" s="304"/>
      <c r="G11" s="304"/>
      <c r="H11" s="304"/>
    </row>
    <row r="12" spans="1:10" s="330" customFormat="1">
      <c r="A12" s="174">
        <v>45626</v>
      </c>
      <c r="B12" s="304"/>
      <c r="C12" s="304"/>
      <c r="D12" s="304"/>
      <c r="E12" s="304"/>
      <c r="F12" s="304"/>
      <c r="G12" s="304"/>
      <c r="H12" s="304"/>
    </row>
    <row r="13" spans="1:10" s="330" customFormat="1">
      <c r="A13" s="174">
        <v>45657</v>
      </c>
      <c r="B13" s="304"/>
      <c r="C13" s="304"/>
      <c r="D13" s="304"/>
      <c r="E13" s="304"/>
      <c r="F13" s="304"/>
      <c r="G13" s="304"/>
      <c r="H13" s="304"/>
    </row>
    <row r="14" spans="1:10" s="330" customFormat="1">
      <c r="A14" s="174">
        <v>45688</v>
      </c>
      <c r="B14" s="304"/>
      <c r="C14" s="304"/>
      <c r="D14" s="304"/>
      <c r="E14" s="304"/>
      <c r="F14" s="304"/>
      <c r="G14" s="304"/>
      <c r="H14" s="304"/>
    </row>
    <row r="15" spans="1:10" s="330" customFormat="1">
      <c r="A15" s="174">
        <v>45716</v>
      </c>
      <c r="B15" s="304"/>
      <c r="C15" s="304"/>
      <c r="D15" s="304"/>
      <c r="E15" s="304"/>
      <c r="F15" s="304"/>
      <c r="G15" s="304"/>
      <c r="H15" s="304"/>
    </row>
    <row r="16" spans="1:10" s="330" customFormat="1">
      <c r="A16" s="174">
        <v>45747</v>
      </c>
      <c r="B16" s="304"/>
      <c r="C16" s="304"/>
      <c r="D16" s="304"/>
      <c r="E16" s="304"/>
      <c r="F16" s="304"/>
      <c r="G16" s="304"/>
      <c r="H16" s="304"/>
    </row>
    <row r="17" spans="1:8" s="330" customFormat="1">
      <c r="A17" s="743" t="str">
        <f>"$ indicates as on "&amp;TEXT(IF(COUNT(B5:B16)=1,A5,IF(COUNT(B5:B16)=2,A6,IF(COUNT(B5:B16)=3,A7,IF(COUNT(B5:B16)=4,A8,IF(COUNT(B5:B16)=5,A9,IF(COUNT(B5:B16)=6,A10,IF(COUNT(B5:B16)=7,A11,IF(COUNT(B5:B16)=8,A12,IF(COUNT(B5:B16)=9,A13,IF(COUNT(B5:B16)=10,A14,IF(COUNT(B5:B16)=11,A15,A16))))))))))),"mmmm dd, yyyy")</f>
        <v>$ indicates as on August 31, 2024</v>
      </c>
      <c r="B17" s="367"/>
      <c r="C17" s="367"/>
      <c r="D17" s="367"/>
      <c r="E17" s="367"/>
      <c r="F17" s="367"/>
      <c r="G17" s="367"/>
      <c r="H17" s="367"/>
    </row>
    <row r="18" spans="1:8" s="330" customFormat="1">
      <c r="A18" s="1345" t="s">
        <v>469</v>
      </c>
      <c r="B18" s="1345"/>
      <c r="C18" s="1345"/>
      <c r="D18" s="1345"/>
      <c r="E18" s="1345"/>
      <c r="F18" s="1345"/>
      <c r="G18" s="1345"/>
    </row>
    <row r="19" spans="1:8" s="330" customFormat="1">
      <c r="A19" s="1293" t="s">
        <v>470</v>
      </c>
      <c r="B19" s="1293"/>
      <c r="C19" s="1293"/>
      <c r="D19" s="1293"/>
      <c r="E19" s="1293"/>
      <c r="F19" s="1293"/>
      <c r="G19" s="1293"/>
    </row>
    <row r="20" spans="1:8" s="330" customFormat="1">
      <c r="A20" s="419"/>
    </row>
    <row r="21" spans="1:8" s="330" customFormat="1">
      <c r="A21" s="92"/>
      <c r="B21" s="92"/>
      <c r="C21" s="92"/>
      <c r="D21" s="92"/>
      <c r="E21" s="92"/>
      <c r="F21" s="92"/>
      <c r="G21" s="92"/>
    </row>
  </sheetData>
  <mergeCells count="2">
    <mergeCell ref="A18:G18"/>
    <mergeCell ref="A19:G19"/>
  </mergeCells>
  <printOptions horizontalCentered="1"/>
  <pageMargins left="0.78431372549019618" right="0.78431372549019618" top="0.98039215686274517" bottom="0.98039215686274517" header="0.50980392156862753" footer="0.50980392156862753"/>
  <pageSetup paperSize="9" scale="94" orientation="landscape" useFirstPageNumber="1" r:id="rId1"/>
  <headerFooter alignWithMargins="0"/>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38"/>
  <sheetViews>
    <sheetView workbookViewId="0"/>
  </sheetViews>
  <sheetFormatPr defaultColWidth="9.140625" defaultRowHeight="15"/>
  <cols>
    <col min="1" max="10" width="14.5703125" style="92" bestFit="1" customWidth="1"/>
    <col min="11" max="11" width="14.42578125" style="92" bestFit="1" customWidth="1"/>
    <col min="12" max="12" width="15" style="92" bestFit="1" customWidth="1"/>
    <col min="13" max="16" width="14.5703125" style="92" bestFit="1" customWidth="1"/>
    <col min="17" max="17" width="4.5703125" style="92" bestFit="1" customWidth="1"/>
    <col min="18" max="16384" width="9.140625" style="92"/>
  </cols>
  <sheetData>
    <row r="1" spans="1:16">
      <c r="A1" s="222" t="s">
        <v>471</v>
      </c>
      <c r="B1" s="222"/>
      <c r="C1" s="222"/>
      <c r="D1" s="222"/>
      <c r="E1" s="222"/>
      <c r="F1" s="222"/>
      <c r="G1" s="222"/>
      <c r="H1" s="222"/>
      <c r="I1" s="222"/>
      <c r="J1" s="222"/>
      <c r="K1" s="222"/>
    </row>
    <row r="2" spans="1:16" s="330" customFormat="1">
      <c r="A2" s="538" t="s">
        <v>142</v>
      </c>
      <c r="B2" s="1330" t="s">
        <v>73</v>
      </c>
      <c r="C2" s="1340"/>
      <c r="D2" s="1340"/>
      <c r="E2" s="1340"/>
      <c r="F2" s="1340"/>
      <c r="G2" s="1346" t="s">
        <v>74</v>
      </c>
      <c r="H2" s="1347"/>
      <c r="I2" s="1347"/>
      <c r="J2" s="1347"/>
      <c r="K2" s="1348"/>
      <c r="L2" s="1326" t="s">
        <v>75</v>
      </c>
      <c r="M2" s="1326"/>
      <c r="N2" s="1326"/>
      <c r="O2" s="1326"/>
      <c r="P2" s="1327"/>
    </row>
    <row r="3" spans="1:16" s="330" customFormat="1">
      <c r="A3" s="645" t="s">
        <v>472</v>
      </c>
      <c r="B3" s="599" t="s">
        <v>473</v>
      </c>
      <c r="C3" s="599" t="s">
        <v>474</v>
      </c>
      <c r="D3" s="599" t="s">
        <v>475</v>
      </c>
      <c r="E3" s="599" t="s">
        <v>476</v>
      </c>
      <c r="F3" s="646" t="s">
        <v>477</v>
      </c>
      <c r="G3" s="410" t="s">
        <v>473</v>
      </c>
      <c r="H3" s="411" t="s">
        <v>474</v>
      </c>
      <c r="I3" s="412" t="s">
        <v>475</v>
      </c>
      <c r="J3" s="412" t="s">
        <v>476</v>
      </c>
      <c r="K3" s="647" t="s">
        <v>477</v>
      </c>
      <c r="L3" s="648" t="s">
        <v>473</v>
      </c>
      <c r="M3" s="599" t="s">
        <v>474</v>
      </c>
      <c r="N3" s="599" t="s">
        <v>475</v>
      </c>
      <c r="O3" s="599" t="s">
        <v>476</v>
      </c>
      <c r="P3" s="599" t="s">
        <v>477</v>
      </c>
    </row>
    <row r="4" spans="1:16" s="330" customFormat="1">
      <c r="A4" s="1349" t="s">
        <v>478</v>
      </c>
      <c r="B4" s="1350"/>
      <c r="C4" s="1350"/>
      <c r="D4" s="1350"/>
      <c r="E4" s="1350"/>
      <c r="F4" s="1350"/>
      <c r="G4" s="1351"/>
      <c r="H4" s="1350"/>
      <c r="I4" s="1350"/>
      <c r="J4" s="1350"/>
      <c r="K4" s="1352"/>
      <c r="L4" s="1350"/>
      <c r="M4" s="1350"/>
      <c r="N4" s="1350"/>
      <c r="O4" s="1350"/>
      <c r="P4" s="1353"/>
    </row>
    <row r="5" spans="1:16" s="97" customFormat="1">
      <c r="A5" s="530" t="s">
        <v>518</v>
      </c>
      <c r="B5" s="649">
        <v>6.8860000000000001</v>
      </c>
      <c r="C5" s="649">
        <v>12.107799999999999</v>
      </c>
      <c r="D5" s="649">
        <v>22.874099999999999</v>
      </c>
      <c r="E5" s="649">
        <v>33.898000000000003</v>
      </c>
      <c r="F5" s="650">
        <v>47.015999999999998</v>
      </c>
      <c r="G5" s="651">
        <v>10.41</v>
      </c>
      <c r="H5" s="652">
        <v>15.69</v>
      </c>
      <c r="I5" s="649">
        <v>26.18</v>
      </c>
      <c r="J5" s="649">
        <v>37.520000000000003</v>
      </c>
      <c r="K5" s="653">
        <v>53.16</v>
      </c>
      <c r="L5" s="654">
        <v>100</v>
      </c>
      <c r="M5" s="655">
        <v>100</v>
      </c>
      <c r="N5" s="655">
        <v>100</v>
      </c>
      <c r="O5" s="655">
        <v>100</v>
      </c>
      <c r="P5" s="655">
        <v>100</v>
      </c>
    </row>
    <row r="6" spans="1:16" s="97" customFormat="1">
      <c r="A6" s="531" t="s">
        <v>743</v>
      </c>
      <c r="B6" s="649">
        <v>7.8994999999999997</v>
      </c>
      <c r="C6" s="649">
        <v>13.359500000000001</v>
      </c>
      <c r="D6" s="649">
        <v>24.5001</v>
      </c>
      <c r="E6" s="649">
        <v>35.86</v>
      </c>
      <c r="F6" s="649">
        <v>48.745100000000001</v>
      </c>
      <c r="G6" s="649">
        <v>8.02</v>
      </c>
      <c r="H6" s="649">
        <v>13.45</v>
      </c>
      <c r="I6" s="649">
        <v>25.44</v>
      </c>
      <c r="J6" s="649">
        <v>37.93</v>
      </c>
      <c r="K6" s="649">
        <v>53.34</v>
      </c>
      <c r="L6" s="649">
        <v>100</v>
      </c>
      <c r="M6" s="649">
        <v>100</v>
      </c>
      <c r="N6" s="649">
        <v>100</v>
      </c>
      <c r="O6" s="649">
        <v>100</v>
      </c>
      <c r="P6" s="649">
        <v>100</v>
      </c>
    </row>
    <row r="7" spans="1:16" s="330" customFormat="1">
      <c r="A7" s="174">
        <v>45383</v>
      </c>
      <c r="B7" s="309">
        <v>12.237399999999999</v>
      </c>
      <c r="C7" s="309">
        <v>18.0837</v>
      </c>
      <c r="D7" s="309">
        <v>28.117799999999999</v>
      </c>
      <c r="E7" s="309">
        <v>38.904200000000003</v>
      </c>
      <c r="F7" s="656">
        <v>51.089700000000001</v>
      </c>
      <c r="G7" s="491">
        <v>9.17</v>
      </c>
      <c r="H7" s="489">
        <v>15.05</v>
      </c>
      <c r="I7" s="309">
        <v>26.65</v>
      </c>
      <c r="J7" s="657">
        <v>40</v>
      </c>
      <c r="K7" s="658">
        <v>56.68</v>
      </c>
      <c r="L7" s="659">
        <v>100</v>
      </c>
      <c r="M7" s="177">
        <v>100</v>
      </c>
      <c r="N7" s="177">
        <v>100</v>
      </c>
      <c r="O7" s="177">
        <v>100</v>
      </c>
      <c r="P7" s="177">
        <v>100</v>
      </c>
    </row>
    <row r="8" spans="1:16" s="330" customFormat="1">
      <c r="A8" s="174">
        <v>45413</v>
      </c>
      <c r="B8" s="309">
        <v>9.3636999999999997</v>
      </c>
      <c r="C8" s="309">
        <v>14.9964</v>
      </c>
      <c r="D8" s="309">
        <v>27.557200000000002</v>
      </c>
      <c r="E8" s="309">
        <v>40.197099999999999</v>
      </c>
      <c r="F8" s="490">
        <v>53.834899999999998</v>
      </c>
      <c r="G8" s="660">
        <v>7.86</v>
      </c>
      <c r="H8" s="661">
        <v>13.85</v>
      </c>
      <c r="I8" s="309">
        <v>27.5</v>
      </c>
      <c r="J8" s="662">
        <v>40.93</v>
      </c>
      <c r="K8" s="663">
        <v>58.04</v>
      </c>
      <c r="L8" s="664">
        <v>100</v>
      </c>
      <c r="M8" s="177">
        <v>100</v>
      </c>
      <c r="N8" s="177">
        <v>100</v>
      </c>
      <c r="O8" s="177">
        <v>100</v>
      </c>
      <c r="P8" s="177">
        <v>100</v>
      </c>
    </row>
    <row r="9" spans="1:16" s="330" customFormat="1">
      <c r="A9" s="174">
        <v>45444</v>
      </c>
      <c r="B9" s="309">
        <v>9.3575999999999997</v>
      </c>
      <c r="C9" s="309">
        <v>15.349399999999999</v>
      </c>
      <c r="D9" s="309">
        <v>27.638300000000001</v>
      </c>
      <c r="E9" s="309">
        <v>40.628</v>
      </c>
      <c r="F9" s="309">
        <v>55.0916</v>
      </c>
      <c r="G9" s="665">
        <v>9.4</v>
      </c>
      <c r="H9" s="666">
        <v>15.99</v>
      </c>
      <c r="I9" s="309">
        <v>28.93</v>
      </c>
      <c r="J9" s="368">
        <v>42.2</v>
      </c>
      <c r="K9" s="663">
        <v>58.15</v>
      </c>
      <c r="L9" s="664">
        <v>100</v>
      </c>
      <c r="M9" s="177">
        <v>100</v>
      </c>
      <c r="N9" s="177">
        <v>100</v>
      </c>
      <c r="O9" s="177">
        <v>100</v>
      </c>
      <c r="P9" s="177">
        <v>100</v>
      </c>
    </row>
    <row r="10" spans="1:16" s="330" customFormat="1">
      <c r="A10" s="174">
        <v>45474</v>
      </c>
      <c r="B10" s="309">
        <v>10.303900000000001</v>
      </c>
      <c r="C10" s="309">
        <v>15.9009</v>
      </c>
      <c r="D10" s="309">
        <v>26.593399999999999</v>
      </c>
      <c r="E10" s="309">
        <v>37.937899999999999</v>
      </c>
      <c r="F10" s="368">
        <v>51.223300000000002</v>
      </c>
      <c r="G10" s="667">
        <v>9.9499999999999993</v>
      </c>
      <c r="H10" s="309">
        <v>15.72</v>
      </c>
      <c r="I10" s="309">
        <v>27.25</v>
      </c>
      <c r="J10" s="309">
        <v>39.54</v>
      </c>
      <c r="K10" s="668">
        <v>54.63</v>
      </c>
      <c r="L10" s="664">
        <v>100</v>
      </c>
      <c r="M10" s="177">
        <v>100</v>
      </c>
      <c r="N10" s="177">
        <v>100</v>
      </c>
      <c r="O10" s="177">
        <v>100</v>
      </c>
      <c r="P10" s="177">
        <v>100</v>
      </c>
    </row>
    <row r="11" spans="1:16" s="330" customFormat="1">
      <c r="A11" s="174">
        <v>45505</v>
      </c>
      <c r="B11" s="669">
        <v>15.122299999999999</v>
      </c>
      <c r="C11" s="669">
        <v>20.614000000000001</v>
      </c>
      <c r="D11" s="669">
        <v>29.932500000000001</v>
      </c>
      <c r="E11" s="669">
        <v>39.250700000000002</v>
      </c>
      <c r="F11" s="670">
        <v>50.781500000000001</v>
      </c>
      <c r="G11" s="671">
        <v>9.1</v>
      </c>
      <c r="H11" s="672">
        <v>14.05</v>
      </c>
      <c r="I11" s="672">
        <v>24.28</v>
      </c>
      <c r="J11" s="672">
        <v>36.4</v>
      </c>
      <c r="K11" s="672">
        <v>51.69</v>
      </c>
      <c r="L11" s="673">
        <v>100</v>
      </c>
      <c r="M11" s="674">
        <v>100</v>
      </c>
      <c r="N11" s="674">
        <v>100</v>
      </c>
      <c r="O11" s="674">
        <v>100</v>
      </c>
      <c r="P11" s="674">
        <v>100</v>
      </c>
    </row>
    <row r="12" spans="1:16" s="330" customFormat="1">
      <c r="A12" s="174">
        <v>45536</v>
      </c>
      <c r="B12" s="309"/>
      <c r="C12" s="309"/>
      <c r="D12" s="309"/>
      <c r="E12" s="309"/>
      <c r="F12" s="368"/>
      <c r="G12" s="225"/>
      <c r="H12" s="666"/>
      <c r="I12" s="309"/>
      <c r="J12" s="368"/>
      <c r="K12" s="663"/>
      <c r="L12" s="664"/>
      <c r="M12" s="177"/>
      <c r="N12" s="177"/>
      <c r="O12" s="177"/>
      <c r="P12" s="177"/>
    </row>
    <row r="13" spans="1:16" s="330" customFormat="1">
      <c r="A13" s="174">
        <v>45566</v>
      </c>
      <c r="B13" s="309"/>
      <c r="C13" s="309"/>
      <c r="D13" s="309"/>
      <c r="E13" s="309"/>
      <c r="F13" s="368"/>
      <c r="G13" s="665"/>
      <c r="H13" s="666"/>
      <c r="I13" s="309"/>
      <c r="J13" s="368"/>
      <c r="K13" s="663"/>
      <c r="L13" s="664"/>
      <c r="M13" s="177"/>
      <c r="N13" s="177"/>
      <c r="O13" s="177"/>
      <c r="P13" s="177"/>
    </row>
    <row r="14" spans="1:16" s="330" customFormat="1">
      <c r="A14" s="174">
        <v>45597</v>
      </c>
      <c r="B14" s="309"/>
      <c r="C14" s="309"/>
      <c r="D14" s="309"/>
      <c r="E14" s="309"/>
      <c r="F14" s="309"/>
      <c r="G14" s="665"/>
      <c r="H14" s="666"/>
      <c r="I14" s="666"/>
      <c r="J14" s="666"/>
      <c r="K14" s="663"/>
      <c r="L14" s="675"/>
      <c r="M14" s="319"/>
      <c r="N14" s="319"/>
      <c r="O14" s="319"/>
      <c r="P14" s="319"/>
    </row>
    <row r="15" spans="1:16" s="330" customFormat="1">
      <c r="A15" s="174">
        <v>45627</v>
      </c>
      <c r="B15" s="309"/>
      <c r="C15" s="309"/>
      <c r="D15" s="309"/>
      <c r="E15" s="309"/>
      <c r="F15" s="309"/>
      <c r="G15" s="665"/>
      <c r="H15" s="666"/>
      <c r="I15" s="309"/>
      <c r="J15" s="368"/>
      <c r="K15" s="663"/>
      <c r="L15" s="675"/>
      <c r="M15" s="319"/>
      <c r="N15" s="319"/>
      <c r="O15" s="319"/>
      <c r="P15" s="319"/>
    </row>
    <row r="16" spans="1:16" s="330" customFormat="1">
      <c r="A16" s="174">
        <v>45658</v>
      </c>
      <c r="B16" s="309"/>
      <c r="C16" s="309"/>
      <c r="D16" s="309"/>
      <c r="E16" s="309"/>
      <c r="F16" s="309"/>
      <c r="G16" s="665"/>
      <c r="H16" s="666"/>
      <c r="I16" s="309"/>
      <c r="J16" s="368"/>
      <c r="K16" s="663"/>
      <c r="L16" s="675"/>
      <c r="M16" s="319"/>
      <c r="N16" s="319"/>
      <c r="O16" s="319"/>
      <c r="P16" s="319"/>
    </row>
    <row r="17" spans="1:16" s="330" customFormat="1">
      <c r="A17" s="174">
        <v>45689</v>
      </c>
      <c r="B17" s="309"/>
      <c r="C17" s="309"/>
      <c r="D17" s="309"/>
      <c r="E17" s="309"/>
      <c r="F17" s="309"/>
      <c r="G17" s="665"/>
      <c r="H17" s="666"/>
      <c r="I17" s="309"/>
      <c r="J17" s="368"/>
      <c r="K17" s="663"/>
      <c r="L17" s="675"/>
      <c r="M17" s="319"/>
      <c r="N17" s="319"/>
      <c r="O17" s="319"/>
      <c r="P17" s="319"/>
    </row>
    <row r="18" spans="1:16" s="330" customFormat="1">
      <c r="A18" s="174">
        <v>45717</v>
      </c>
      <c r="B18" s="309"/>
      <c r="C18" s="309"/>
      <c r="D18" s="309"/>
      <c r="E18" s="309"/>
      <c r="F18" s="309"/>
      <c r="G18" s="676"/>
      <c r="H18" s="677"/>
      <c r="I18" s="318"/>
      <c r="J18" s="369"/>
      <c r="K18" s="678"/>
      <c r="L18" s="675"/>
      <c r="M18" s="319"/>
      <c r="N18" s="319"/>
      <c r="O18" s="319"/>
      <c r="P18" s="319"/>
    </row>
    <row r="19" spans="1:16" s="330" customFormat="1">
      <c r="A19" s="1354" t="s">
        <v>479</v>
      </c>
      <c r="B19" s="1354"/>
      <c r="C19" s="1354"/>
      <c r="D19" s="1354"/>
      <c r="E19" s="1354"/>
      <c r="F19" s="1354"/>
      <c r="G19" s="1355"/>
      <c r="H19" s="1354"/>
      <c r="I19" s="1354"/>
      <c r="J19" s="1354"/>
      <c r="K19" s="1356"/>
      <c r="L19" s="1354"/>
      <c r="M19" s="1354"/>
      <c r="N19" s="1354"/>
      <c r="O19" s="1354"/>
      <c r="P19" s="1354"/>
    </row>
    <row r="20" spans="1:16" s="97" customFormat="1">
      <c r="A20" s="679" t="s">
        <v>518</v>
      </c>
      <c r="B20" s="226">
        <v>35.9</v>
      </c>
      <c r="C20" s="226">
        <v>47.49</v>
      </c>
      <c r="D20" s="226">
        <v>68.790000000000006</v>
      </c>
      <c r="E20" s="226">
        <v>81.44</v>
      </c>
      <c r="F20" s="227">
        <v>90.03</v>
      </c>
      <c r="G20" s="680">
        <v>25.48</v>
      </c>
      <c r="H20" s="226">
        <v>38.590000000000003</v>
      </c>
      <c r="I20" s="226">
        <v>59.21</v>
      </c>
      <c r="J20" s="226">
        <v>75.72</v>
      </c>
      <c r="K20" s="681">
        <v>88.71</v>
      </c>
      <c r="L20" s="228">
        <v>100</v>
      </c>
      <c r="M20" s="229">
        <v>100</v>
      </c>
      <c r="N20" s="229">
        <v>100</v>
      </c>
      <c r="O20" s="229" t="s">
        <v>223</v>
      </c>
      <c r="P20" s="230" t="s">
        <v>223</v>
      </c>
    </row>
    <row r="21" spans="1:16" s="97" customFormat="1">
      <c r="A21" s="682" t="s">
        <v>743</v>
      </c>
      <c r="B21" s="683">
        <v>41.1</v>
      </c>
      <c r="C21" s="683">
        <v>53.01</v>
      </c>
      <c r="D21" s="683">
        <v>71.209999999999994</v>
      </c>
      <c r="E21" s="683">
        <v>82.34</v>
      </c>
      <c r="F21" s="684">
        <v>90.79</v>
      </c>
      <c r="G21" s="685">
        <v>26.36</v>
      </c>
      <c r="H21" s="686">
        <v>40.93</v>
      </c>
      <c r="I21" s="683">
        <v>62.26</v>
      </c>
      <c r="J21" s="683">
        <v>77.75</v>
      </c>
      <c r="K21" s="687">
        <v>89.96</v>
      </c>
      <c r="L21" s="688">
        <v>100</v>
      </c>
      <c r="M21" s="689">
        <v>100</v>
      </c>
      <c r="N21" s="689">
        <v>100</v>
      </c>
      <c r="O21" s="683" t="s">
        <v>223</v>
      </c>
      <c r="P21" s="683" t="s">
        <v>223</v>
      </c>
    </row>
    <row r="22" spans="1:16" s="330" customFormat="1">
      <c r="A22" s="174">
        <v>45412</v>
      </c>
      <c r="B22" s="309">
        <v>41.94</v>
      </c>
      <c r="C22" s="309">
        <v>55.09</v>
      </c>
      <c r="D22" s="309">
        <v>72.36</v>
      </c>
      <c r="E22" s="309">
        <v>82.17</v>
      </c>
      <c r="F22" s="368">
        <v>90.43</v>
      </c>
      <c r="G22" s="690">
        <v>26.45</v>
      </c>
      <c r="H22" s="666">
        <v>40.93</v>
      </c>
      <c r="I22" s="309">
        <v>62.12</v>
      </c>
      <c r="J22" s="368">
        <v>77.930000000000007</v>
      </c>
      <c r="K22" s="663">
        <v>90.04</v>
      </c>
      <c r="L22" s="664">
        <v>100</v>
      </c>
      <c r="M22" s="177">
        <v>100</v>
      </c>
      <c r="N22" s="177">
        <v>100</v>
      </c>
      <c r="O22" s="178" t="s">
        <v>223</v>
      </c>
      <c r="P22" s="178" t="s">
        <v>223</v>
      </c>
    </row>
    <row r="23" spans="1:16" s="330" customFormat="1">
      <c r="A23" s="174">
        <v>45443</v>
      </c>
      <c r="B23" s="309">
        <v>42.1</v>
      </c>
      <c r="C23" s="309">
        <v>55.03</v>
      </c>
      <c r="D23" s="309">
        <v>72.75</v>
      </c>
      <c r="E23" s="309">
        <v>83.54</v>
      </c>
      <c r="F23" s="368">
        <v>91.32</v>
      </c>
      <c r="G23" s="690">
        <v>25.89</v>
      </c>
      <c r="H23" s="666">
        <v>40.270000000000003</v>
      </c>
      <c r="I23" s="309">
        <v>63.09</v>
      </c>
      <c r="J23" s="368">
        <v>78.84</v>
      </c>
      <c r="K23" s="663">
        <v>90.59</v>
      </c>
      <c r="L23" s="664">
        <v>100</v>
      </c>
      <c r="M23" s="177">
        <v>100</v>
      </c>
      <c r="N23" s="177">
        <v>100</v>
      </c>
      <c r="O23" s="178" t="s">
        <v>223</v>
      </c>
      <c r="P23" s="178" t="s">
        <v>223</v>
      </c>
    </row>
    <row r="24" spans="1:16" s="330" customFormat="1">
      <c r="A24" s="174">
        <v>45473</v>
      </c>
      <c r="B24" s="309">
        <v>40.5</v>
      </c>
      <c r="C24" s="309">
        <v>52.95</v>
      </c>
      <c r="D24" s="309">
        <v>72.8</v>
      </c>
      <c r="E24" s="309">
        <v>83.86</v>
      </c>
      <c r="F24" s="309">
        <v>91.79</v>
      </c>
      <c r="G24" s="690">
        <v>27.1</v>
      </c>
      <c r="H24" s="666">
        <v>40.9</v>
      </c>
      <c r="I24" s="309">
        <v>61.81</v>
      </c>
      <c r="J24" s="368">
        <v>77.59</v>
      </c>
      <c r="K24" s="663">
        <v>90.1</v>
      </c>
      <c r="L24" s="664">
        <v>100</v>
      </c>
      <c r="M24" s="177">
        <v>100</v>
      </c>
      <c r="N24" s="177">
        <v>100</v>
      </c>
      <c r="O24" s="178" t="s">
        <v>223</v>
      </c>
      <c r="P24" s="178" t="s">
        <v>223</v>
      </c>
    </row>
    <row r="25" spans="1:16" s="330" customFormat="1">
      <c r="A25" s="174">
        <v>45504</v>
      </c>
      <c r="B25" s="309">
        <v>43.94</v>
      </c>
      <c r="C25" s="309">
        <v>56.73</v>
      </c>
      <c r="D25" s="309">
        <v>74.59</v>
      </c>
      <c r="E25" s="309">
        <v>83.77</v>
      </c>
      <c r="F25" s="368">
        <v>91.69</v>
      </c>
      <c r="G25" s="690">
        <v>27.38</v>
      </c>
      <c r="H25" s="666">
        <v>42.38</v>
      </c>
      <c r="I25" s="309">
        <v>61.95</v>
      </c>
      <c r="J25" s="368">
        <v>77.209999999999994</v>
      </c>
      <c r="K25" s="663">
        <v>89.53</v>
      </c>
      <c r="L25" s="664">
        <v>100</v>
      </c>
      <c r="M25" s="177">
        <v>100</v>
      </c>
      <c r="N25" s="177">
        <v>100</v>
      </c>
      <c r="O25" s="178" t="s">
        <v>223</v>
      </c>
      <c r="P25" s="178" t="s">
        <v>223</v>
      </c>
    </row>
    <row r="26" spans="1:16" s="330" customFormat="1">
      <c r="A26" s="174">
        <v>45535</v>
      </c>
      <c r="B26" s="669">
        <v>37.25</v>
      </c>
      <c r="C26" s="669">
        <v>51.51</v>
      </c>
      <c r="D26" s="669">
        <v>72.53</v>
      </c>
      <c r="E26" s="669">
        <v>83.12</v>
      </c>
      <c r="F26" s="669">
        <v>90.8</v>
      </c>
      <c r="G26" s="669">
        <v>25.79</v>
      </c>
      <c r="H26" s="669">
        <v>40.67</v>
      </c>
      <c r="I26" s="669">
        <v>62.77</v>
      </c>
      <c r="J26" s="669">
        <v>77.900000000000006</v>
      </c>
      <c r="K26" s="669">
        <v>89.89</v>
      </c>
      <c r="L26" s="669">
        <v>100</v>
      </c>
      <c r="M26" s="669">
        <v>100</v>
      </c>
      <c r="N26" s="669">
        <v>100</v>
      </c>
      <c r="O26" s="669" t="s">
        <v>223</v>
      </c>
      <c r="P26" s="669" t="s">
        <v>223</v>
      </c>
    </row>
    <row r="27" spans="1:16" s="330" customFormat="1">
      <c r="A27" s="174">
        <v>45565</v>
      </c>
      <c r="B27" s="309"/>
      <c r="C27" s="309"/>
      <c r="D27" s="309"/>
      <c r="E27" s="309"/>
      <c r="F27" s="368"/>
      <c r="G27" s="690"/>
      <c r="H27" s="666"/>
      <c r="I27" s="309"/>
      <c r="J27" s="368"/>
      <c r="K27" s="663"/>
      <c r="L27" s="664"/>
      <c r="M27" s="177"/>
      <c r="N27" s="177"/>
      <c r="O27" s="178"/>
      <c r="P27" s="178"/>
    </row>
    <row r="28" spans="1:16" s="330" customFormat="1">
      <c r="A28" s="174">
        <v>45596</v>
      </c>
      <c r="B28" s="309"/>
      <c r="C28" s="309"/>
      <c r="D28" s="309"/>
      <c r="E28" s="309"/>
      <c r="F28" s="368"/>
      <c r="G28" s="690"/>
      <c r="H28" s="666"/>
      <c r="I28" s="309"/>
      <c r="J28" s="368"/>
      <c r="K28" s="663"/>
      <c r="L28" s="664"/>
      <c r="M28" s="177"/>
      <c r="N28" s="177"/>
      <c r="O28" s="178"/>
      <c r="P28" s="178"/>
    </row>
    <row r="29" spans="1:16" s="330" customFormat="1">
      <c r="A29" s="174">
        <v>45626</v>
      </c>
      <c r="B29" s="309"/>
      <c r="C29" s="309"/>
      <c r="D29" s="309"/>
      <c r="E29" s="309"/>
      <c r="F29" s="309"/>
      <c r="G29" s="690"/>
      <c r="H29" s="666"/>
      <c r="I29" s="666"/>
      <c r="J29" s="666"/>
      <c r="K29" s="663"/>
      <c r="L29" s="675"/>
      <c r="M29" s="319"/>
      <c r="N29" s="319"/>
      <c r="O29" s="178"/>
      <c r="P29" s="178"/>
    </row>
    <row r="30" spans="1:16" s="330" customFormat="1">
      <c r="A30" s="174">
        <v>45657</v>
      </c>
      <c r="B30" s="309"/>
      <c r="C30" s="309"/>
      <c r="D30" s="309"/>
      <c r="E30" s="309"/>
      <c r="F30" s="309"/>
      <c r="G30" s="690"/>
      <c r="H30" s="666"/>
      <c r="I30" s="309"/>
      <c r="J30" s="368"/>
      <c r="K30" s="663"/>
      <c r="L30" s="675"/>
      <c r="M30" s="319"/>
      <c r="N30" s="319"/>
      <c r="O30" s="178"/>
      <c r="P30" s="178"/>
    </row>
    <row r="31" spans="1:16" s="330" customFormat="1">
      <c r="A31" s="174">
        <v>45688</v>
      </c>
      <c r="B31" s="309"/>
      <c r="C31" s="309"/>
      <c r="D31" s="309"/>
      <c r="E31" s="309"/>
      <c r="F31" s="309"/>
      <c r="G31" s="690"/>
      <c r="H31" s="666"/>
      <c r="I31" s="309"/>
      <c r="J31" s="368"/>
      <c r="K31" s="663"/>
      <c r="L31" s="675"/>
      <c r="M31" s="319"/>
      <c r="N31" s="319"/>
      <c r="O31" s="178"/>
      <c r="P31" s="178"/>
    </row>
    <row r="32" spans="1:16" s="330" customFormat="1">
      <c r="A32" s="174">
        <v>45716</v>
      </c>
      <c r="B32" s="309"/>
      <c r="C32" s="309"/>
      <c r="D32" s="309"/>
      <c r="E32" s="309"/>
      <c r="F32" s="309"/>
      <c r="G32" s="690"/>
      <c r="H32" s="666"/>
      <c r="I32" s="309"/>
      <c r="J32" s="368"/>
      <c r="K32" s="663"/>
      <c r="L32" s="675"/>
      <c r="M32" s="319"/>
      <c r="N32" s="319"/>
      <c r="O32" s="178"/>
      <c r="P32" s="178"/>
    </row>
    <row r="33" spans="1:16" s="330" customFormat="1">
      <c r="A33" s="174">
        <v>45747</v>
      </c>
      <c r="B33" s="343"/>
      <c r="C33" s="343"/>
      <c r="D33" s="343"/>
      <c r="E33" s="343"/>
      <c r="F33" s="370"/>
      <c r="G33" s="691"/>
      <c r="H33" s="692"/>
      <c r="I33" s="344"/>
      <c r="J33" s="371"/>
      <c r="K33" s="693"/>
      <c r="L33" s="675"/>
      <c r="M33" s="319"/>
      <c r="N33" s="319"/>
      <c r="O33" s="178"/>
      <c r="P33" s="178"/>
    </row>
    <row r="34" spans="1:16" s="330" customFormat="1">
      <c r="A34" s="743" t="str">
        <f>"$ indicates as on "&amp;TEXT(IF(COUNT(B22:B33)=1,A22,IF(COUNT(B22:B33)=2,A23,IF(COUNT(B22:B33)=3,A24,IF(COUNT(B22:B33)=4,A25,IF(COUNT(B22:B33)=5,A26,IF(COUNT(B22:B33)=6,A27,IF(COUNT(B22:B33)=7,A28,IF(COUNT(B22:B33)=8,A29,IF(COUNT(B22:B33)=9,A30,IF(COUNT(B22:B33)=10,A31,IF(COUNT(B22:B33)=11,A32,A33))))))))))),"mmmm dd, yyyy")</f>
        <v>$ indicates as on August 31, 2024</v>
      </c>
      <c r="G34" s="231"/>
      <c r="H34" s="231"/>
      <c r="I34" s="231"/>
      <c r="J34" s="231"/>
      <c r="K34" s="231"/>
    </row>
    <row r="35" spans="1:16" s="330" customFormat="1" ht="15" customHeight="1">
      <c r="A35" s="1357" t="s">
        <v>480</v>
      </c>
      <c r="B35" s="1357"/>
      <c r="C35" s="1357"/>
      <c r="D35" s="1357"/>
      <c r="E35" s="1357"/>
      <c r="F35" s="1357"/>
      <c r="G35" s="1357"/>
      <c r="H35" s="1357"/>
      <c r="I35" s="1357"/>
      <c r="J35" s="1357"/>
      <c r="K35" s="1357"/>
    </row>
    <row r="36" spans="1:16" s="330" customFormat="1" ht="15" customHeight="1">
      <c r="A36" s="1322" t="s">
        <v>169</v>
      </c>
      <c r="B36" s="1322"/>
      <c r="C36" s="1322"/>
      <c r="D36" s="1322"/>
      <c r="E36" s="1322"/>
      <c r="F36" s="1322"/>
      <c r="G36" s="1322"/>
      <c r="H36" s="1322"/>
      <c r="I36" s="1322"/>
      <c r="J36" s="1322"/>
      <c r="K36" s="1322"/>
    </row>
    <row r="37" spans="1:16" s="330" customFormat="1">
      <c r="A37" s="419"/>
      <c r="G37" s="231"/>
      <c r="H37" s="231"/>
      <c r="I37" s="231"/>
      <c r="J37" s="231"/>
      <c r="K37" s="231"/>
    </row>
    <row r="38" spans="1:16" s="330" customFormat="1">
      <c r="A38" s="92"/>
      <c r="B38" s="92"/>
      <c r="C38" s="92"/>
      <c r="D38" s="92"/>
      <c r="E38" s="92"/>
      <c r="F38" s="92"/>
      <c r="G38" s="92"/>
      <c r="H38" s="92"/>
      <c r="I38" s="92"/>
      <c r="J38" s="92"/>
      <c r="K38" s="92"/>
    </row>
  </sheetData>
  <mergeCells count="7">
    <mergeCell ref="A36:K36"/>
    <mergeCell ref="B2:F2"/>
    <mergeCell ref="G2:K2"/>
    <mergeCell ref="L2:P2"/>
    <mergeCell ref="A4:P4"/>
    <mergeCell ref="A19:P19"/>
    <mergeCell ref="A35:K35"/>
  </mergeCells>
  <printOptions horizontalCentered="1"/>
  <pageMargins left="0.78431372549019618" right="0.78431372549019618" top="0.98039215686274517" bottom="0.98039215686274517" header="0.50980392156862753" footer="0.50980392156862753"/>
  <pageSetup paperSize="9" scale="55" fitToHeight="0" orientation="landscape" useFirstPageNumber="1" r:id="rId1"/>
  <headerFooter alignWithMargins="0"/>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20"/>
  <sheetViews>
    <sheetView workbookViewId="0"/>
  </sheetViews>
  <sheetFormatPr defaultColWidth="9.140625" defaultRowHeight="15"/>
  <cols>
    <col min="1" max="1" width="14.42578125" style="92" customWidth="1"/>
    <col min="2" max="2" width="13.42578125" style="92" bestFit="1" customWidth="1"/>
    <col min="3" max="3" width="10.7109375" style="92" customWidth="1"/>
    <col min="4" max="4" width="9.7109375" style="92" bestFit="1" customWidth="1"/>
    <col min="5" max="5" width="16.28515625" style="92" bestFit="1" customWidth="1"/>
    <col min="6" max="6" width="11.7109375" style="92" bestFit="1" customWidth="1"/>
    <col min="7" max="7" width="11.42578125" style="92" bestFit="1" customWidth="1"/>
    <col min="8" max="8" width="14.140625" style="92" bestFit="1" customWidth="1"/>
    <col min="9" max="9" width="13.140625" style="92" bestFit="1" customWidth="1"/>
    <col min="10" max="10" width="17.28515625" style="92" bestFit="1" customWidth="1"/>
    <col min="11" max="11" width="13.140625" style="92" bestFit="1" customWidth="1"/>
    <col min="12" max="12" width="17.85546875" style="92" customWidth="1"/>
    <col min="13" max="13" width="12.85546875" style="92" bestFit="1" customWidth="1"/>
    <col min="14" max="14" width="14.42578125" style="92" bestFit="1" customWidth="1"/>
    <col min="15" max="15" width="13.5703125" style="92" bestFit="1" customWidth="1"/>
    <col min="16" max="17" width="14.5703125" style="92" bestFit="1" customWidth="1"/>
    <col min="18" max="16384" width="9.140625" style="92"/>
  </cols>
  <sheetData>
    <row r="1" spans="1:17" ht="18" customHeight="1">
      <c r="A1" s="148" t="s">
        <v>923</v>
      </c>
      <c r="B1" s="148"/>
      <c r="C1" s="148"/>
      <c r="D1" s="148"/>
      <c r="E1" s="148"/>
      <c r="F1" s="148"/>
      <c r="G1" s="148"/>
      <c r="H1" s="148"/>
      <c r="I1" s="148"/>
    </row>
    <row r="2" spans="1:17" s="330" customFormat="1" ht="93" customHeight="1">
      <c r="A2" s="492" t="s">
        <v>481</v>
      </c>
      <c r="B2" s="492" t="s">
        <v>482</v>
      </c>
      <c r="C2" s="492" t="s">
        <v>483</v>
      </c>
      <c r="D2" s="492" t="s">
        <v>484</v>
      </c>
      <c r="E2" s="492" t="s">
        <v>485</v>
      </c>
      <c r="F2" s="492" t="s">
        <v>268</v>
      </c>
      <c r="G2" s="492" t="s">
        <v>497</v>
      </c>
      <c r="H2" s="492" t="s">
        <v>487</v>
      </c>
      <c r="I2" s="492" t="s">
        <v>488</v>
      </c>
      <c r="J2" s="492" t="s">
        <v>489</v>
      </c>
      <c r="K2" s="492" t="s">
        <v>490</v>
      </c>
      <c r="L2" s="492" t="s">
        <v>491</v>
      </c>
      <c r="M2" s="492" t="s">
        <v>492</v>
      </c>
      <c r="N2" s="492" t="s">
        <v>493</v>
      </c>
      <c r="O2" s="492" t="s">
        <v>494</v>
      </c>
      <c r="P2" s="492" t="s">
        <v>495</v>
      </c>
      <c r="Q2" s="492" t="s">
        <v>496</v>
      </c>
    </row>
    <row r="3" spans="1:17" s="97" customFormat="1" ht="18" customHeight="1">
      <c r="A3" s="679" t="s">
        <v>518</v>
      </c>
      <c r="B3" s="493">
        <v>69487.82673999999</v>
      </c>
      <c r="C3" s="494">
        <v>11268719.193800002</v>
      </c>
      <c r="D3" s="494">
        <v>2344344.1848999998</v>
      </c>
      <c r="E3" s="495">
        <v>20.803998614055867</v>
      </c>
      <c r="F3" s="494">
        <v>21748414.387699999</v>
      </c>
      <c r="G3" s="494">
        <v>5504035.4572999999</v>
      </c>
      <c r="H3" s="496">
        <v>25.30775512725587</v>
      </c>
      <c r="I3" s="494">
        <v>2341440.7551000002</v>
      </c>
      <c r="J3" s="495">
        <v>99.876151726410285</v>
      </c>
      <c r="K3" s="494">
        <v>5498635.5640999991</v>
      </c>
      <c r="L3" s="497">
        <v>99.901892107311212</v>
      </c>
      <c r="M3" s="498">
        <v>2903.4311500000003</v>
      </c>
      <c r="N3" s="499">
        <v>0.12384833117513626</v>
      </c>
      <c r="O3" s="498">
        <v>1303158.07</v>
      </c>
      <c r="P3" s="494">
        <v>5504035.4572999999</v>
      </c>
      <c r="Q3" s="179">
        <v>765.52</v>
      </c>
    </row>
    <row r="4" spans="1:17" s="97" customFormat="1" ht="18" customHeight="1">
      <c r="A4" s="682" t="s">
        <v>743</v>
      </c>
      <c r="B4" s="694">
        <f>SUM(B5:B16)</f>
        <v>45189.74555</v>
      </c>
      <c r="C4" s="694">
        <f>SUM(C5:C16)</f>
        <v>5867300.2080000006</v>
      </c>
      <c r="D4" s="694">
        <f>SUM(D5:D16)</f>
        <v>1293333.4959999998</v>
      </c>
      <c r="E4" s="695">
        <f>D4/C4*100</f>
        <v>22.04307688630886</v>
      </c>
      <c r="F4" s="694">
        <f>SUM(F5:F16)</f>
        <v>14148312.782</v>
      </c>
      <c r="G4" s="694">
        <f>SUM(G5:G16)</f>
        <v>3439704.0425000004</v>
      </c>
      <c r="H4" s="695">
        <f>G4/F4*100</f>
        <v>24.311761377484654</v>
      </c>
      <c r="I4" s="694">
        <f>SUM(I5:I16)</f>
        <v>1291958.1266999999</v>
      </c>
      <c r="J4" s="500">
        <f>I4/D4*100</f>
        <v>99.893657026261707</v>
      </c>
      <c r="K4" s="694">
        <f>SUM(K5:K16)</f>
        <v>3438102.3031000001</v>
      </c>
      <c r="L4" s="501">
        <f>K4/G4*100</f>
        <v>99.953433801855923</v>
      </c>
      <c r="M4" s="694">
        <f>SUM(M5:M16)</f>
        <v>1375.3692000000001</v>
      </c>
      <c r="N4" s="502">
        <f>M4/D4*100</f>
        <v>0.10634296600634864</v>
      </c>
      <c r="O4" s="694">
        <f>SUM(O5:O16)</f>
        <v>798681.72000000009</v>
      </c>
      <c r="P4" s="694">
        <f>SUM(P5:P16)</f>
        <v>3439704.0425000004</v>
      </c>
      <c r="Q4" s="694">
        <f>INDEX(Q5:Q16,COUNT(Q5:Q16))</f>
        <v>845.83</v>
      </c>
    </row>
    <row r="5" spans="1:17" s="330" customFormat="1" ht="18" customHeight="1">
      <c r="A5" s="174">
        <v>45412</v>
      </c>
      <c r="B5" s="305">
        <v>7195.4276099999997</v>
      </c>
      <c r="C5" s="328">
        <v>1101489.7069999999</v>
      </c>
      <c r="D5" s="328">
        <v>246083.10620000001</v>
      </c>
      <c r="E5" s="306">
        <v>22.340935600000002</v>
      </c>
      <c r="F5" s="503">
        <v>2285452.9109999998</v>
      </c>
      <c r="G5" s="328">
        <v>562380.61869999999</v>
      </c>
      <c r="H5" s="306">
        <v>24.60696591</v>
      </c>
      <c r="I5" s="328">
        <v>245951.9013</v>
      </c>
      <c r="J5" s="306">
        <v>99.946682686988936</v>
      </c>
      <c r="K5" s="328">
        <v>562055.16500000004</v>
      </c>
      <c r="L5" s="306">
        <v>99.946682686988936</v>
      </c>
      <c r="M5" s="328">
        <v>131.20477</v>
      </c>
      <c r="N5" s="304">
        <v>5.3345703000000001E-2</v>
      </c>
      <c r="O5" s="328">
        <v>131968.62</v>
      </c>
      <c r="P5" s="328">
        <v>562380.61869999999</v>
      </c>
      <c r="Q5" s="328">
        <v>775.22</v>
      </c>
    </row>
    <row r="6" spans="1:17" s="330" customFormat="1" ht="18" customHeight="1">
      <c r="A6" s="174">
        <v>45443</v>
      </c>
      <c r="B6" s="305">
        <v>8145.3289599999998</v>
      </c>
      <c r="C6" s="328">
        <v>1012222.7340000001</v>
      </c>
      <c r="D6" s="328">
        <v>233019.56659999999</v>
      </c>
      <c r="E6" s="306">
        <v>23.020582210000001</v>
      </c>
      <c r="F6" s="503">
        <v>2543832.807</v>
      </c>
      <c r="G6" s="328">
        <v>617866.57259999996</v>
      </c>
      <c r="H6" s="306">
        <v>24.288804320000001</v>
      </c>
      <c r="I6" s="328">
        <v>232681.2132</v>
      </c>
      <c r="J6" s="306">
        <v>100</v>
      </c>
      <c r="K6" s="328">
        <v>617521.93420000002</v>
      </c>
      <c r="L6" s="310">
        <v>100</v>
      </c>
      <c r="M6" s="328">
        <v>338.35320999999999</v>
      </c>
      <c r="N6" s="304">
        <v>0.145414924</v>
      </c>
      <c r="O6" s="328">
        <v>130262.41</v>
      </c>
      <c r="P6" s="328">
        <v>617866.57259999996</v>
      </c>
      <c r="Q6" s="328">
        <v>819.86</v>
      </c>
    </row>
    <row r="7" spans="1:17" s="330" customFormat="1" ht="18" customHeight="1">
      <c r="A7" s="174">
        <v>45473</v>
      </c>
      <c r="B7" s="305">
        <v>9477.56</v>
      </c>
      <c r="C7" s="328">
        <v>1310108.94</v>
      </c>
      <c r="D7" s="328">
        <v>286125.69</v>
      </c>
      <c r="E7" s="306">
        <v>21.84</v>
      </c>
      <c r="F7" s="503">
        <v>3235067.35</v>
      </c>
      <c r="G7" s="328">
        <v>804129.5</v>
      </c>
      <c r="H7" s="306">
        <v>24.86</v>
      </c>
      <c r="I7" s="328">
        <v>285849.81</v>
      </c>
      <c r="J7" s="306">
        <v>100</v>
      </c>
      <c r="K7" s="328">
        <v>803773.09</v>
      </c>
      <c r="L7" s="310">
        <v>100</v>
      </c>
      <c r="M7" s="328">
        <v>275.88</v>
      </c>
      <c r="N7" s="304">
        <v>0.1</v>
      </c>
      <c r="O7" s="328">
        <v>215176.39</v>
      </c>
      <c r="P7" s="328">
        <v>804129.5</v>
      </c>
      <c r="Q7" s="328">
        <v>827.71</v>
      </c>
    </row>
    <row r="8" spans="1:17" s="330" customFormat="1" ht="18" customHeight="1">
      <c r="A8" s="174">
        <v>45504</v>
      </c>
      <c r="B8" s="305">
        <v>10077.48185</v>
      </c>
      <c r="C8" s="328">
        <v>1357050.5279999999</v>
      </c>
      <c r="D8" s="328">
        <v>284986.62599999999</v>
      </c>
      <c r="E8" s="306">
        <v>21.00044325</v>
      </c>
      <c r="F8" s="503">
        <v>3321712.1340000001</v>
      </c>
      <c r="G8" s="328">
        <v>763550.68409999995</v>
      </c>
      <c r="H8" s="306">
        <v>22.98666029</v>
      </c>
      <c r="I8" s="328">
        <v>284598.57829999999</v>
      </c>
      <c r="J8" s="306">
        <v>100</v>
      </c>
      <c r="K8" s="328">
        <v>763322.90269999998</v>
      </c>
      <c r="L8" s="310">
        <v>100</v>
      </c>
      <c r="M8" s="328">
        <v>388.04771</v>
      </c>
      <c r="N8" s="304">
        <v>0.13634913900000001</v>
      </c>
      <c r="O8" s="328">
        <v>156854.69</v>
      </c>
      <c r="P8" s="328">
        <v>763550.68409999995</v>
      </c>
      <c r="Q8" s="328">
        <v>836.15</v>
      </c>
    </row>
    <row r="9" spans="1:17" s="330" customFormat="1">
      <c r="A9" s="174">
        <v>45535</v>
      </c>
      <c r="B9" s="305">
        <v>10293.94713</v>
      </c>
      <c r="C9" s="305">
        <v>1086428.2990000001</v>
      </c>
      <c r="D9" s="305">
        <v>243118.50719999999</v>
      </c>
      <c r="E9" s="306">
        <v>22.37777749</v>
      </c>
      <c r="F9" s="305">
        <v>2762247.58</v>
      </c>
      <c r="G9" s="305">
        <v>691776.66709999996</v>
      </c>
      <c r="H9" s="306">
        <v>25.04397767</v>
      </c>
      <c r="I9" s="305">
        <v>242876.62390000001</v>
      </c>
      <c r="J9" s="306">
        <v>100</v>
      </c>
      <c r="K9" s="305">
        <v>691429.21120000002</v>
      </c>
      <c r="L9" s="306">
        <v>100</v>
      </c>
      <c r="M9" s="305">
        <v>241.88351</v>
      </c>
      <c r="N9" s="306">
        <v>9.9591104E-2</v>
      </c>
      <c r="O9" s="305">
        <v>164419.60999999999</v>
      </c>
      <c r="P9" s="305">
        <v>691776.66709999996</v>
      </c>
      <c r="Q9" s="305">
        <v>845.83</v>
      </c>
    </row>
    <row r="10" spans="1:17" s="330" customFormat="1" ht="18.75" customHeight="1">
      <c r="A10" s="174">
        <v>45565</v>
      </c>
      <c r="B10" s="305"/>
      <c r="C10" s="328"/>
      <c r="D10" s="328"/>
      <c r="E10" s="306"/>
      <c r="F10" s="503"/>
      <c r="G10" s="328"/>
      <c r="H10" s="306"/>
      <c r="I10" s="328"/>
      <c r="J10" s="306"/>
      <c r="K10" s="328"/>
      <c r="L10" s="310"/>
      <c r="M10" s="328"/>
      <c r="N10" s="304"/>
      <c r="O10" s="328"/>
      <c r="P10" s="328"/>
      <c r="Q10" s="328"/>
    </row>
    <row r="11" spans="1:17" s="330" customFormat="1" ht="18" customHeight="1">
      <c r="A11" s="174">
        <v>45596</v>
      </c>
      <c r="B11" s="305"/>
      <c r="C11" s="328"/>
      <c r="D11" s="328"/>
      <c r="E11" s="306"/>
      <c r="F11" s="503"/>
      <c r="G11" s="328"/>
      <c r="H11" s="306"/>
      <c r="I11" s="328"/>
      <c r="J11" s="306"/>
      <c r="K11" s="328"/>
      <c r="L11" s="310"/>
      <c r="M11" s="328"/>
      <c r="N11" s="304"/>
      <c r="O11" s="328"/>
      <c r="P11" s="328"/>
      <c r="Q11" s="328"/>
    </row>
    <row r="12" spans="1:17" s="330" customFormat="1">
      <c r="A12" s="174">
        <v>45626</v>
      </c>
      <c r="B12" s="305"/>
      <c r="C12" s="328"/>
      <c r="D12" s="328"/>
      <c r="E12" s="306"/>
      <c r="F12" s="503"/>
      <c r="G12" s="328"/>
      <c r="H12" s="306"/>
      <c r="I12" s="328"/>
      <c r="J12" s="306"/>
      <c r="K12" s="328"/>
      <c r="L12" s="310"/>
      <c r="M12" s="328"/>
      <c r="N12" s="304"/>
      <c r="O12" s="328"/>
      <c r="P12" s="328"/>
      <c r="Q12" s="328"/>
    </row>
    <row r="13" spans="1:17" s="330" customFormat="1">
      <c r="A13" s="174">
        <v>45657</v>
      </c>
      <c r="B13" s="305"/>
      <c r="C13" s="328"/>
      <c r="D13" s="328"/>
      <c r="E13" s="306"/>
      <c r="F13" s="503"/>
      <c r="G13" s="328"/>
      <c r="H13" s="306"/>
      <c r="I13" s="328"/>
      <c r="J13" s="306"/>
      <c r="K13" s="328"/>
      <c r="L13" s="310"/>
      <c r="M13" s="328"/>
      <c r="N13" s="304"/>
      <c r="O13" s="328"/>
      <c r="P13" s="328"/>
      <c r="Q13" s="328"/>
    </row>
    <row r="14" spans="1:17" s="330" customFormat="1">
      <c r="A14" s="174">
        <v>45688</v>
      </c>
      <c r="B14" s="305"/>
      <c r="C14" s="328"/>
      <c r="D14" s="328"/>
      <c r="E14" s="306"/>
      <c r="F14" s="503"/>
      <c r="G14" s="328"/>
      <c r="H14" s="306"/>
      <c r="I14" s="328"/>
      <c r="J14" s="306"/>
      <c r="K14" s="328"/>
      <c r="L14" s="310"/>
      <c r="M14" s="328"/>
      <c r="N14" s="304"/>
      <c r="O14" s="328"/>
      <c r="P14" s="328"/>
      <c r="Q14" s="328"/>
    </row>
    <row r="15" spans="1:17" s="330" customFormat="1">
      <c r="A15" s="174">
        <v>45716</v>
      </c>
      <c r="B15" s="305"/>
      <c r="C15" s="328"/>
      <c r="D15" s="328"/>
      <c r="E15" s="306"/>
      <c r="F15" s="503"/>
      <c r="G15" s="328"/>
      <c r="H15" s="306"/>
      <c r="I15" s="328"/>
      <c r="J15" s="306"/>
      <c r="K15" s="328"/>
      <c r="L15" s="310"/>
      <c r="M15" s="328"/>
      <c r="N15" s="304"/>
      <c r="O15" s="328"/>
      <c r="P15" s="328"/>
      <c r="Q15" s="328"/>
    </row>
    <row r="16" spans="1:17" s="330" customFormat="1">
      <c r="A16" s="174">
        <v>45747</v>
      </c>
      <c r="B16" s="305"/>
      <c r="C16" s="328"/>
      <c r="D16" s="328"/>
      <c r="E16" s="306"/>
      <c r="F16" s="503"/>
      <c r="G16" s="328"/>
      <c r="H16" s="306"/>
      <c r="I16" s="328"/>
      <c r="J16" s="306"/>
      <c r="K16" s="328"/>
      <c r="L16" s="310"/>
      <c r="M16" s="328"/>
      <c r="N16" s="304"/>
      <c r="O16" s="328"/>
      <c r="P16" s="328"/>
      <c r="Q16" s="328"/>
    </row>
    <row r="17" spans="1:17" s="330" customFormat="1">
      <c r="A17" s="743" t="str">
        <f>"$ indicates as on "&amp;TEXT(IF(COUNT(B5:B16)=1,A5,IF(COUNT(B5:B16)=2,A6,IF(COUNT(B5:B16)=3,A7,IF(COUNT(B5:B16)=4,A8,IF(COUNT(B5:B16)=5,A9,IF(COUNT(B5:B16)=6,A10,IF(COUNT(B5:B16)=7,A11,IF(COUNT(B5:B16)=8,A12,IF(COUNT(B5:B16)=9,A13,IF(COUNT(B5:B16)=10,A14,IF(COUNT(B5:B16)=11,A15,A16))))))))))),"mmmm dd, yyyy")</f>
        <v>$ indicates as on August 31, 2024</v>
      </c>
      <c r="B17" s="333"/>
      <c r="C17" s="132"/>
      <c r="D17" s="132"/>
      <c r="E17" s="360"/>
      <c r="F17" s="132"/>
      <c r="G17" s="132"/>
      <c r="H17" s="360"/>
      <c r="I17" s="132"/>
      <c r="J17" s="361"/>
      <c r="K17" s="132"/>
      <c r="L17" s="360"/>
      <c r="M17" s="333"/>
      <c r="N17" s="376"/>
      <c r="O17" s="377"/>
      <c r="P17" s="132"/>
      <c r="Q17" s="332"/>
    </row>
    <row r="18" spans="1:17" s="330" customFormat="1">
      <c r="A18" s="1293" t="s">
        <v>498</v>
      </c>
      <c r="B18" s="1293"/>
      <c r="C18" s="1293"/>
      <c r="D18" s="1293"/>
      <c r="E18" s="1293"/>
      <c r="F18" s="1293"/>
      <c r="G18" s="1293"/>
    </row>
    <row r="19" spans="1:17" s="330" customFormat="1">
      <c r="A19" s="1293" t="s">
        <v>924</v>
      </c>
      <c r="B19" s="1293"/>
      <c r="C19" s="1293"/>
      <c r="D19" s="1293"/>
      <c r="E19" s="1293"/>
      <c r="F19" s="1293"/>
      <c r="G19" s="1293"/>
    </row>
    <row r="20" spans="1:17" s="330" customFormat="1">
      <c r="A20" s="419"/>
      <c r="B20" s="92"/>
      <c r="C20" s="92"/>
      <c r="D20" s="92"/>
      <c r="E20" s="92"/>
      <c r="F20" s="92"/>
      <c r="G20" s="92"/>
    </row>
  </sheetData>
  <mergeCells count="2">
    <mergeCell ref="A18:G18"/>
    <mergeCell ref="A19:G19"/>
  </mergeCells>
  <printOptions horizontalCentered="1"/>
  <pageMargins left="0.78431372549019618" right="0.78431372549019618" top="0.98039215686274517" bottom="0.98039215686274517" header="0.50980392156862753" footer="0.50980392156862753"/>
  <pageSetup paperSize="9" fitToHeight="0" orientation="landscape" useFirstPageNumber="1" r:id="rId1"/>
  <headerFooter alignWithMargins="0"/>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20"/>
  <sheetViews>
    <sheetView workbookViewId="0"/>
  </sheetViews>
  <sheetFormatPr defaultColWidth="9.140625" defaultRowHeight="15"/>
  <cols>
    <col min="1" max="1" width="14.42578125" style="92" customWidth="1"/>
    <col min="2" max="2" width="13.42578125" style="92" bestFit="1" customWidth="1"/>
    <col min="3" max="3" width="9.140625" style="92" bestFit="1" customWidth="1"/>
    <col min="4" max="4" width="9.7109375" style="92" bestFit="1" customWidth="1"/>
    <col min="5" max="5" width="16.28515625" style="92" bestFit="1" customWidth="1"/>
    <col min="6" max="6" width="11.7109375" style="92" bestFit="1" customWidth="1"/>
    <col min="7" max="7" width="11.42578125" style="92" bestFit="1" customWidth="1"/>
    <col min="8" max="8" width="14.140625" style="92" bestFit="1" customWidth="1"/>
    <col min="9" max="9" width="13.140625" style="92" bestFit="1" customWidth="1"/>
    <col min="10" max="10" width="17.28515625" style="92" bestFit="1" customWidth="1"/>
    <col min="11" max="11" width="13.140625" style="92" bestFit="1" customWidth="1"/>
    <col min="12" max="12" width="17.85546875" style="92" customWidth="1"/>
    <col min="13" max="13" width="12.85546875" style="92" bestFit="1" customWidth="1"/>
    <col min="14" max="14" width="14.42578125" style="92" bestFit="1" customWidth="1"/>
    <col min="15" max="15" width="13.5703125" style="92" bestFit="1" customWidth="1"/>
    <col min="16" max="17" width="14.5703125" style="92" bestFit="1" customWidth="1"/>
    <col min="18" max="16384" width="9.140625" style="92"/>
  </cols>
  <sheetData>
    <row r="1" spans="1:17" ht="16.5" customHeight="1">
      <c r="A1" s="222" t="s">
        <v>921</v>
      </c>
      <c r="B1" s="222"/>
      <c r="C1" s="222"/>
      <c r="D1" s="222"/>
      <c r="E1" s="222"/>
      <c r="F1" s="222"/>
      <c r="G1" s="222"/>
      <c r="H1" s="222"/>
      <c r="I1" s="222"/>
    </row>
    <row r="2" spans="1:17" s="330" customFormat="1" ht="88.5" customHeight="1">
      <c r="A2" s="492" t="s">
        <v>481</v>
      </c>
      <c r="B2" s="492" t="s">
        <v>482</v>
      </c>
      <c r="C2" s="492" t="s">
        <v>483</v>
      </c>
      <c r="D2" s="492" t="s">
        <v>484</v>
      </c>
      <c r="E2" s="492" t="s">
        <v>485</v>
      </c>
      <c r="F2" s="492" t="s">
        <v>268</v>
      </c>
      <c r="G2" s="492" t="s">
        <v>486</v>
      </c>
      <c r="H2" s="492" t="s">
        <v>487</v>
      </c>
      <c r="I2" s="492" t="s">
        <v>488</v>
      </c>
      <c r="J2" s="492" t="s">
        <v>489</v>
      </c>
      <c r="K2" s="492" t="s">
        <v>490</v>
      </c>
      <c r="L2" s="492" t="s">
        <v>491</v>
      </c>
      <c r="M2" s="492" t="s">
        <v>492</v>
      </c>
      <c r="N2" s="492" t="s">
        <v>493</v>
      </c>
      <c r="O2" s="492" t="s">
        <v>494</v>
      </c>
      <c r="P2" s="492" t="s">
        <v>495</v>
      </c>
      <c r="Q2" s="492" t="s">
        <v>496</v>
      </c>
    </row>
    <row r="3" spans="1:17" s="97" customFormat="1" ht="18" customHeight="1">
      <c r="A3" s="679" t="s">
        <v>518</v>
      </c>
      <c r="B3" s="493">
        <v>9980.6111099999998</v>
      </c>
      <c r="C3" s="494">
        <v>2519145.3052500002</v>
      </c>
      <c r="D3" s="494">
        <v>597537.51045000006</v>
      </c>
      <c r="E3" s="495">
        <v>23.71985090358654</v>
      </c>
      <c r="F3" s="494">
        <v>3458333.6918770159</v>
      </c>
      <c r="G3" s="494">
        <v>699412.76619996899</v>
      </c>
      <c r="H3" s="496">
        <v>20.223981504235979</v>
      </c>
      <c r="I3" s="494">
        <v>597537.43017000007</v>
      </c>
      <c r="J3" s="495">
        <v>99.99998656486018</v>
      </c>
      <c r="K3" s="494">
        <v>699412.76619996899</v>
      </c>
      <c r="L3" s="497">
        <v>100</v>
      </c>
      <c r="M3" s="498">
        <v>1014.2349300000001</v>
      </c>
      <c r="N3" s="499">
        <v>0.16973577595759454</v>
      </c>
      <c r="O3" s="498">
        <v>158274.00048334099</v>
      </c>
      <c r="P3" s="494">
        <v>700419.10301068402</v>
      </c>
      <c r="Q3" s="179">
        <v>385.35</v>
      </c>
    </row>
    <row r="4" spans="1:17" s="97" customFormat="1" ht="18" customHeight="1">
      <c r="A4" s="682" t="s">
        <v>743</v>
      </c>
      <c r="B4" s="694">
        <f>SUM(B5:B16)</f>
        <v>5476.10095</v>
      </c>
      <c r="C4" s="694">
        <f>SUM(C5:C16)</f>
        <v>1260801.5813499999</v>
      </c>
      <c r="D4" s="694">
        <f>SUM(D5:D16)</f>
        <v>331688.75481999997</v>
      </c>
      <c r="E4" s="695">
        <f>D4/C4*100</f>
        <v>26.307767988746107</v>
      </c>
      <c r="F4" s="694">
        <f>SUM(F5:F16)</f>
        <v>2063502.7278952589</v>
      </c>
      <c r="G4" s="694">
        <f>SUM(G5:G16)</f>
        <v>433634.27304889803</v>
      </c>
      <c r="H4" s="695">
        <f>G4/F4*100</f>
        <v>21.014475395978678</v>
      </c>
      <c r="I4" s="694">
        <f>SUM(I5:I16)</f>
        <v>331688.75481999997</v>
      </c>
      <c r="J4" s="500">
        <f>I4/D4*100</f>
        <v>100</v>
      </c>
      <c r="K4" s="694">
        <f>SUM(K5:K16)</f>
        <v>433634.27304889803</v>
      </c>
      <c r="L4" s="501">
        <f>K4/G4*100</f>
        <v>100</v>
      </c>
      <c r="M4" s="694">
        <f>SUM(M5:M16)</f>
        <v>253.02296000000001</v>
      </c>
      <c r="N4" s="502">
        <f>M4/D4*100</f>
        <v>7.6283249378565718E-2</v>
      </c>
      <c r="O4" s="694">
        <f>SUM(O5:O16)</f>
        <v>93576.475827695016</v>
      </c>
      <c r="P4" s="694">
        <f>SUM(P5:P16)</f>
        <v>434102.09684047004</v>
      </c>
      <c r="Q4" s="694">
        <f>INDEX(Q5:Q16,COUNT(Q5:Q16))</f>
        <v>401.02</v>
      </c>
    </row>
    <row r="5" spans="1:17" s="330" customFormat="1" ht="18" customHeight="1">
      <c r="A5" s="174">
        <v>45412</v>
      </c>
      <c r="B5" s="305">
        <v>899.80000000000007</v>
      </c>
      <c r="C5" s="328">
        <v>244703.9</v>
      </c>
      <c r="D5" s="328">
        <v>61106.7</v>
      </c>
      <c r="E5" s="306">
        <v>24.971690275471701</v>
      </c>
      <c r="F5" s="503">
        <v>322563</v>
      </c>
      <c r="G5" s="328">
        <v>65643</v>
      </c>
      <c r="H5" s="306">
        <v>20.350443169241359</v>
      </c>
      <c r="I5" s="328">
        <v>61106.7</v>
      </c>
      <c r="J5" s="306">
        <v>100</v>
      </c>
      <c r="K5" s="328">
        <v>65643</v>
      </c>
      <c r="L5" s="310">
        <v>100</v>
      </c>
      <c r="M5" s="328">
        <v>36.9</v>
      </c>
      <c r="N5" s="304">
        <v>6.0386176965864631E-2</v>
      </c>
      <c r="O5" s="328">
        <v>10723</v>
      </c>
      <c r="P5" s="328">
        <v>65728</v>
      </c>
      <c r="Q5" s="328">
        <v>388.39</v>
      </c>
    </row>
    <row r="6" spans="1:17" s="330" customFormat="1" ht="18" customHeight="1">
      <c r="A6" s="174">
        <v>45443</v>
      </c>
      <c r="B6" s="305">
        <v>966.54922999999997</v>
      </c>
      <c r="C6" s="328">
        <v>218716.79103000002</v>
      </c>
      <c r="D6" s="328">
        <v>59194.741759999997</v>
      </c>
      <c r="E6" s="306">
        <v>27.064562113057256</v>
      </c>
      <c r="F6" s="503">
        <v>348357.35534477304</v>
      </c>
      <c r="G6" s="328">
        <v>75625.271933649012</v>
      </c>
      <c r="H6" s="306">
        <v>21.709107263947928</v>
      </c>
      <c r="I6" s="328">
        <v>59194.741759999997</v>
      </c>
      <c r="J6" s="306">
        <v>100</v>
      </c>
      <c r="K6" s="328">
        <v>75625.271933649012</v>
      </c>
      <c r="L6" s="310">
        <v>100</v>
      </c>
      <c r="M6" s="328">
        <v>36.9</v>
      </c>
      <c r="N6" s="304">
        <v>6.23366179205712E-2</v>
      </c>
      <c r="O6" s="328">
        <v>17091.92986281</v>
      </c>
      <c r="P6" s="328">
        <v>75803.255626326019</v>
      </c>
      <c r="Q6" s="328">
        <v>390.68</v>
      </c>
    </row>
    <row r="7" spans="1:17" s="330" customFormat="1" ht="18" customHeight="1">
      <c r="A7" s="174">
        <v>45473</v>
      </c>
      <c r="B7" s="305">
        <v>1136.38831</v>
      </c>
      <c r="C7" s="328">
        <v>257986.48963</v>
      </c>
      <c r="D7" s="328">
        <v>67401.840809999994</v>
      </c>
      <c r="E7" s="306">
        <v>26.126112614139842</v>
      </c>
      <c r="F7" s="503">
        <v>455683.61165110097</v>
      </c>
      <c r="G7" s="328">
        <v>96898.293881525999</v>
      </c>
      <c r="H7" s="306">
        <v>21.26437980300183</v>
      </c>
      <c r="I7" s="328">
        <v>67401.840809999994</v>
      </c>
      <c r="J7" s="306">
        <v>100</v>
      </c>
      <c r="K7" s="328">
        <v>96898.293881525999</v>
      </c>
      <c r="L7" s="310">
        <v>100</v>
      </c>
      <c r="M7" s="328">
        <v>36.852669999999996</v>
      </c>
      <c r="N7" s="304">
        <v>5.4676058631520925E-2</v>
      </c>
      <c r="O7" s="328">
        <v>25741.095401997001</v>
      </c>
      <c r="P7" s="328">
        <v>96971.005816823017</v>
      </c>
      <c r="Q7" s="328">
        <v>393.35</v>
      </c>
    </row>
    <row r="8" spans="1:17" s="330" customFormat="1" ht="18" customHeight="1">
      <c r="A8" s="174">
        <v>45504</v>
      </c>
      <c r="B8" s="305">
        <v>1330.71164</v>
      </c>
      <c r="C8" s="305">
        <v>296040.5</v>
      </c>
      <c r="D8" s="305">
        <v>81898</v>
      </c>
      <c r="E8" s="305">
        <v>27.664458072459681</v>
      </c>
      <c r="F8" s="305">
        <v>510718</v>
      </c>
      <c r="G8" s="305">
        <v>99972</v>
      </c>
      <c r="H8" s="305">
        <v>19.574794700793785</v>
      </c>
      <c r="I8" s="305">
        <v>81898</v>
      </c>
      <c r="J8" s="305">
        <v>100</v>
      </c>
      <c r="K8" s="305">
        <v>99972</v>
      </c>
      <c r="L8" s="305">
        <v>100</v>
      </c>
      <c r="M8" s="305">
        <v>56.2</v>
      </c>
      <c r="N8" s="305">
        <v>6.8621944369825882E-2</v>
      </c>
      <c r="O8" s="305">
        <v>20234.340056020996</v>
      </c>
      <c r="P8" s="305">
        <v>100030.25752097502</v>
      </c>
      <c r="Q8" s="305">
        <v>397.41</v>
      </c>
    </row>
    <row r="9" spans="1:17" s="330" customFormat="1" ht="18" customHeight="1">
      <c r="A9" s="174">
        <v>45535</v>
      </c>
      <c r="B9" s="305">
        <v>1142.6517699999999</v>
      </c>
      <c r="C9" s="305">
        <v>243353.90068999992</v>
      </c>
      <c r="D9" s="305">
        <v>62087.472249999992</v>
      </c>
      <c r="E9" s="305">
        <v>25.513243089162994</v>
      </c>
      <c r="F9" s="305">
        <v>426180.76089938497</v>
      </c>
      <c r="G9" s="305">
        <v>95495.707233723035</v>
      </c>
      <c r="H9" s="305">
        <v>22.407324777447702</v>
      </c>
      <c r="I9" s="305">
        <v>62087.472249999992</v>
      </c>
      <c r="J9" s="305">
        <v>100</v>
      </c>
      <c r="K9" s="305">
        <v>95495.707233723035</v>
      </c>
      <c r="L9" s="305">
        <v>100</v>
      </c>
      <c r="M9" s="305">
        <v>86.170290000000008</v>
      </c>
      <c r="N9" s="305">
        <v>0.13878852991957652</v>
      </c>
      <c r="O9" s="305">
        <v>19786.110506867008</v>
      </c>
      <c r="P9" s="305">
        <v>95569.577876345997</v>
      </c>
      <c r="Q9" s="305">
        <v>401.02</v>
      </c>
    </row>
    <row r="10" spans="1:17" s="330" customFormat="1">
      <c r="A10" s="174">
        <v>45565</v>
      </c>
      <c r="B10" s="305"/>
      <c r="C10" s="328"/>
      <c r="D10" s="328"/>
      <c r="E10" s="306"/>
      <c r="F10" s="503"/>
      <c r="G10" s="328"/>
      <c r="H10" s="306"/>
      <c r="I10" s="328"/>
      <c r="J10" s="306"/>
      <c r="K10" s="328"/>
      <c r="L10" s="310"/>
      <c r="M10" s="328"/>
      <c r="N10" s="304"/>
      <c r="O10" s="328"/>
      <c r="P10" s="328"/>
      <c r="Q10" s="328"/>
    </row>
    <row r="11" spans="1:17" s="330" customFormat="1" ht="13.5" customHeight="1">
      <c r="A11" s="174">
        <v>45596</v>
      </c>
      <c r="B11" s="305"/>
      <c r="C11" s="328"/>
      <c r="D11" s="328"/>
      <c r="E11" s="306"/>
      <c r="F11" s="503"/>
      <c r="G11" s="328"/>
      <c r="H11" s="306"/>
      <c r="I11" s="328"/>
      <c r="J11" s="306"/>
      <c r="K11" s="328"/>
      <c r="L11" s="310"/>
      <c r="M11" s="328"/>
      <c r="N11" s="304"/>
      <c r="O11" s="328"/>
      <c r="P11" s="328"/>
      <c r="Q11" s="328"/>
    </row>
    <row r="12" spans="1:17" s="330" customFormat="1">
      <c r="A12" s="174">
        <v>45626</v>
      </c>
      <c r="B12" s="321"/>
      <c r="C12" s="320"/>
      <c r="D12" s="320"/>
      <c r="E12" s="372"/>
      <c r="F12" s="504"/>
      <c r="G12" s="320"/>
      <c r="H12" s="372"/>
      <c r="I12" s="320"/>
      <c r="J12" s="372"/>
      <c r="K12" s="320"/>
      <c r="L12" s="309"/>
      <c r="M12" s="320"/>
      <c r="N12" s="373"/>
      <c r="O12" s="320"/>
      <c r="P12" s="374"/>
      <c r="Q12" s="375"/>
    </row>
    <row r="13" spans="1:17" s="330" customFormat="1">
      <c r="A13" s="174">
        <v>45657</v>
      </c>
      <c r="B13" s="305"/>
      <c r="C13" s="328"/>
      <c r="D13" s="328"/>
      <c r="E13" s="306"/>
      <c r="F13" s="503"/>
      <c r="G13" s="328"/>
      <c r="H13" s="306"/>
      <c r="I13" s="328"/>
      <c r="J13" s="306"/>
      <c r="K13" s="328"/>
      <c r="L13" s="310"/>
      <c r="M13" s="328"/>
      <c r="N13" s="304"/>
      <c r="O13" s="328"/>
      <c r="P13" s="328"/>
      <c r="Q13" s="328"/>
    </row>
    <row r="14" spans="1:17" s="330" customFormat="1">
      <c r="A14" s="174">
        <v>45688</v>
      </c>
      <c r="B14" s="305"/>
      <c r="C14" s="328"/>
      <c r="D14" s="328"/>
      <c r="E14" s="306"/>
      <c r="F14" s="503"/>
      <c r="G14" s="328"/>
      <c r="H14" s="306"/>
      <c r="I14" s="328"/>
      <c r="J14" s="306"/>
      <c r="K14" s="328"/>
      <c r="L14" s="310"/>
      <c r="M14" s="328"/>
      <c r="N14" s="304"/>
      <c r="O14" s="328"/>
      <c r="P14" s="328"/>
      <c r="Q14" s="328"/>
    </row>
    <row r="15" spans="1:17" s="330" customFormat="1">
      <c r="A15" s="174">
        <v>45716</v>
      </c>
      <c r="B15" s="305"/>
      <c r="C15" s="328"/>
      <c r="D15" s="328"/>
      <c r="E15" s="306"/>
      <c r="F15" s="503"/>
      <c r="G15" s="328"/>
      <c r="H15" s="306"/>
      <c r="I15" s="328"/>
      <c r="J15" s="306"/>
      <c r="K15" s="328"/>
      <c r="L15" s="310"/>
      <c r="M15" s="328"/>
      <c r="N15" s="304"/>
      <c r="O15" s="328"/>
      <c r="P15" s="328"/>
      <c r="Q15" s="328"/>
    </row>
    <row r="16" spans="1:17" s="330" customFormat="1">
      <c r="A16" s="174">
        <v>45747</v>
      </c>
      <c r="B16" s="305"/>
      <c r="C16" s="328"/>
      <c r="D16" s="328"/>
      <c r="E16" s="306"/>
      <c r="F16" s="503"/>
      <c r="G16" s="328"/>
      <c r="H16" s="306"/>
      <c r="I16" s="328"/>
      <c r="J16" s="306"/>
      <c r="K16" s="328"/>
      <c r="L16" s="310"/>
      <c r="M16" s="328"/>
      <c r="N16" s="304"/>
      <c r="O16" s="328"/>
      <c r="P16" s="328"/>
      <c r="Q16" s="328"/>
    </row>
    <row r="17" spans="1:17" s="330" customFormat="1">
      <c r="A17" s="743" t="str">
        <f>"$ indicates as on "&amp;TEXT(IF(COUNT(B5:B16)=1,A5,IF(COUNT(B5:B16)=2,A6,IF(COUNT(B5:B16)=3,A7,IF(COUNT(B5:B16)=4,A8,IF(COUNT(B5:B16)=5,A9,IF(COUNT(B5:B16)=6,A10,IF(COUNT(B5:B16)=7,A11,IF(COUNT(B5:B16)=8,A12,IF(COUNT(B5:B16)=9,A13,IF(COUNT(B5:B16)=10,A14,IF(COUNT(B5:B16)=11,A15,A16))))))))))),"mmmm dd, yyyy")</f>
        <v>$ indicates as on August 31, 2024</v>
      </c>
      <c r="B17" s="333"/>
      <c r="C17" s="332"/>
      <c r="D17" s="332"/>
      <c r="E17" s="376"/>
      <c r="F17" s="132"/>
      <c r="G17" s="332"/>
      <c r="H17" s="376"/>
      <c r="I17" s="332"/>
      <c r="J17" s="376"/>
      <c r="K17" s="332"/>
      <c r="L17" s="360"/>
      <c r="M17" s="332"/>
      <c r="N17" s="367"/>
      <c r="O17" s="332"/>
      <c r="P17" s="332"/>
      <c r="Q17" s="332"/>
    </row>
    <row r="18" spans="1:17" s="330" customFormat="1" ht="15" customHeight="1">
      <c r="A18" s="1322" t="s">
        <v>922</v>
      </c>
      <c r="B18" s="1322"/>
      <c r="C18" s="1322"/>
      <c r="D18" s="1322"/>
    </row>
    <row r="19" spans="1:17" s="330" customFormat="1">
      <c r="A19" s="419"/>
    </row>
    <row r="20" spans="1:17" s="330" customFormat="1">
      <c r="A20" s="92"/>
      <c r="B20" s="92"/>
      <c r="C20" s="92"/>
      <c r="D20" s="92"/>
    </row>
  </sheetData>
  <mergeCells count="1">
    <mergeCell ref="A18:D18"/>
  </mergeCells>
  <printOptions horizontalCentered="1"/>
  <pageMargins left="0.78431372549019618" right="0.78431372549019618" top="0.98039215686274517" bottom="0.98039215686274517" header="0.50980392156862753" footer="0.50980392156862753"/>
  <pageSetup paperSize="9" fitToWidth="0" orientation="landscape" useFirstPageNumber="1" r:id="rId1"/>
  <headerFooter alignWithMargins="0"/>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20"/>
  <sheetViews>
    <sheetView workbookViewId="0"/>
  </sheetViews>
  <sheetFormatPr defaultColWidth="9.140625" defaultRowHeight="15"/>
  <cols>
    <col min="1" max="1" width="14.42578125" style="92" customWidth="1"/>
    <col min="2" max="2" width="13.42578125" style="92" bestFit="1" customWidth="1"/>
    <col min="3" max="3" width="9.140625" style="92" bestFit="1" customWidth="1"/>
    <col min="4" max="4" width="9.7109375" style="92" bestFit="1" customWidth="1"/>
    <col min="5" max="5" width="16.28515625" style="92" bestFit="1" customWidth="1"/>
    <col min="6" max="6" width="11.7109375" style="92" bestFit="1" customWidth="1"/>
    <col min="7" max="7" width="11.42578125" style="92" bestFit="1" customWidth="1"/>
    <col min="8" max="8" width="14.140625" style="92" bestFit="1" customWidth="1"/>
    <col min="9" max="9" width="13.140625" style="92" bestFit="1" customWidth="1"/>
    <col min="10" max="10" width="17.28515625" style="92" bestFit="1" customWidth="1"/>
    <col min="11" max="11" width="13.140625" style="92" bestFit="1" customWidth="1"/>
    <col min="12" max="12" width="17.85546875" style="92" customWidth="1"/>
    <col min="13" max="13" width="12.85546875" style="92" bestFit="1" customWidth="1"/>
    <col min="14" max="14" width="14.42578125" style="92" bestFit="1" customWidth="1"/>
    <col min="15" max="15" width="13.5703125" style="92" bestFit="1" customWidth="1"/>
    <col min="16" max="17" width="14.5703125" style="92" bestFit="1" customWidth="1"/>
    <col min="18" max="16384" width="9.140625" style="92"/>
  </cols>
  <sheetData>
    <row r="1" spans="1:15" ht="14.25" customHeight="1">
      <c r="A1" s="148" t="s">
        <v>499</v>
      </c>
      <c r="B1" s="148"/>
      <c r="C1" s="148"/>
    </row>
    <row r="2" spans="1:15" s="330" customFormat="1" ht="71.25" customHeight="1">
      <c r="A2" s="492" t="s">
        <v>481</v>
      </c>
      <c r="B2" s="492" t="s">
        <v>482</v>
      </c>
      <c r="C2" s="492" t="s">
        <v>244</v>
      </c>
      <c r="D2" s="492" t="s">
        <v>484</v>
      </c>
      <c r="E2" s="492" t="s">
        <v>485</v>
      </c>
      <c r="F2" s="492" t="s">
        <v>268</v>
      </c>
      <c r="G2" s="492" t="s">
        <v>500</v>
      </c>
      <c r="H2" s="492" t="s">
        <v>487</v>
      </c>
      <c r="I2" s="492" t="s">
        <v>488</v>
      </c>
      <c r="J2" s="492" t="s">
        <v>489</v>
      </c>
      <c r="K2" s="492" t="s">
        <v>490</v>
      </c>
      <c r="L2" s="492" t="s">
        <v>491</v>
      </c>
      <c r="M2" s="492" t="s">
        <v>494</v>
      </c>
      <c r="N2" s="492" t="s">
        <v>495</v>
      </c>
      <c r="O2" s="492" t="s">
        <v>501</v>
      </c>
    </row>
    <row r="3" spans="1:15" s="330" customFormat="1" ht="18" customHeight="1">
      <c r="A3" s="679" t="s">
        <v>518</v>
      </c>
      <c r="B3" s="696" t="s">
        <v>223</v>
      </c>
      <c r="C3" s="697" t="s">
        <v>223</v>
      </c>
      <c r="D3" s="697" t="s">
        <v>223</v>
      </c>
      <c r="E3" s="698" t="s">
        <v>223</v>
      </c>
      <c r="F3" s="697" t="s">
        <v>223</v>
      </c>
      <c r="G3" s="697" t="s">
        <v>223</v>
      </c>
      <c r="H3" s="698" t="s">
        <v>223</v>
      </c>
      <c r="I3" s="697" t="s">
        <v>223</v>
      </c>
      <c r="J3" s="698" t="s">
        <v>223</v>
      </c>
      <c r="K3" s="697" t="s">
        <v>223</v>
      </c>
      <c r="L3" s="696" t="s">
        <v>223</v>
      </c>
      <c r="M3" s="697" t="s">
        <v>223</v>
      </c>
      <c r="N3" s="697" t="s">
        <v>223</v>
      </c>
      <c r="O3" s="697" t="s">
        <v>223</v>
      </c>
    </row>
    <row r="4" spans="1:15" s="330" customFormat="1" ht="18" customHeight="1">
      <c r="A4" s="682" t="s">
        <v>743</v>
      </c>
      <c r="B4" s="696" t="s">
        <v>223</v>
      </c>
      <c r="C4" s="697" t="s">
        <v>223</v>
      </c>
      <c r="D4" s="697" t="s">
        <v>223</v>
      </c>
      <c r="E4" s="698" t="s">
        <v>223</v>
      </c>
      <c r="F4" s="697" t="s">
        <v>223</v>
      </c>
      <c r="G4" s="697" t="s">
        <v>223</v>
      </c>
      <c r="H4" s="698" t="s">
        <v>223</v>
      </c>
      <c r="I4" s="697" t="s">
        <v>223</v>
      </c>
      <c r="J4" s="698" t="s">
        <v>223</v>
      </c>
      <c r="K4" s="697" t="s">
        <v>223</v>
      </c>
      <c r="L4" s="696" t="s">
        <v>223</v>
      </c>
      <c r="M4" s="697" t="s">
        <v>223</v>
      </c>
      <c r="N4" s="697" t="s">
        <v>223</v>
      </c>
      <c r="O4" s="697" t="s">
        <v>223</v>
      </c>
    </row>
    <row r="5" spans="1:15" s="330" customFormat="1" ht="18" customHeight="1">
      <c r="A5" s="174">
        <v>45412</v>
      </c>
      <c r="B5" s="180" t="s">
        <v>223</v>
      </c>
      <c r="C5" s="181" t="s">
        <v>223</v>
      </c>
      <c r="D5" s="181" t="s">
        <v>223</v>
      </c>
      <c r="E5" s="182" t="s">
        <v>223</v>
      </c>
      <c r="F5" s="181" t="s">
        <v>223</v>
      </c>
      <c r="G5" s="181" t="s">
        <v>223</v>
      </c>
      <c r="H5" s="182" t="s">
        <v>223</v>
      </c>
      <c r="I5" s="181" t="s">
        <v>223</v>
      </c>
      <c r="J5" s="182" t="s">
        <v>223</v>
      </c>
      <c r="K5" s="181" t="s">
        <v>223</v>
      </c>
      <c r="L5" s="180" t="s">
        <v>223</v>
      </c>
      <c r="M5" s="181" t="s">
        <v>223</v>
      </c>
      <c r="N5" s="181" t="s">
        <v>223</v>
      </c>
      <c r="O5" s="181" t="s">
        <v>223</v>
      </c>
    </row>
    <row r="6" spans="1:15" s="330" customFormat="1" ht="18" customHeight="1">
      <c r="A6" s="174">
        <v>45443</v>
      </c>
      <c r="B6" s="180" t="s">
        <v>223</v>
      </c>
      <c r="C6" s="181" t="s">
        <v>223</v>
      </c>
      <c r="D6" s="181" t="s">
        <v>223</v>
      </c>
      <c r="E6" s="182" t="s">
        <v>223</v>
      </c>
      <c r="F6" s="181" t="s">
        <v>223</v>
      </c>
      <c r="G6" s="181" t="s">
        <v>223</v>
      </c>
      <c r="H6" s="182" t="s">
        <v>223</v>
      </c>
      <c r="I6" s="181" t="s">
        <v>223</v>
      </c>
      <c r="J6" s="182" t="s">
        <v>223</v>
      </c>
      <c r="K6" s="181" t="s">
        <v>223</v>
      </c>
      <c r="L6" s="180" t="s">
        <v>223</v>
      </c>
      <c r="M6" s="181" t="s">
        <v>223</v>
      </c>
      <c r="N6" s="181" t="s">
        <v>223</v>
      </c>
      <c r="O6" s="181" t="s">
        <v>223</v>
      </c>
    </row>
    <row r="7" spans="1:15" s="330" customFormat="1" ht="18" customHeight="1">
      <c r="A7" s="174">
        <v>45473</v>
      </c>
      <c r="B7" s="180" t="s">
        <v>223</v>
      </c>
      <c r="C7" s="181" t="s">
        <v>223</v>
      </c>
      <c r="D7" s="181" t="s">
        <v>223</v>
      </c>
      <c r="E7" s="182" t="s">
        <v>223</v>
      </c>
      <c r="F7" s="181" t="s">
        <v>223</v>
      </c>
      <c r="G7" s="181" t="s">
        <v>223</v>
      </c>
      <c r="H7" s="182" t="s">
        <v>223</v>
      </c>
      <c r="I7" s="181" t="s">
        <v>223</v>
      </c>
      <c r="J7" s="182" t="s">
        <v>223</v>
      </c>
      <c r="K7" s="181" t="s">
        <v>223</v>
      </c>
      <c r="L7" s="180" t="s">
        <v>223</v>
      </c>
      <c r="M7" s="181" t="s">
        <v>223</v>
      </c>
      <c r="N7" s="181" t="s">
        <v>223</v>
      </c>
      <c r="O7" s="181" t="s">
        <v>223</v>
      </c>
    </row>
    <row r="8" spans="1:15" s="330" customFormat="1" ht="18" customHeight="1">
      <c r="A8" s="174">
        <v>45504</v>
      </c>
      <c r="B8" s="180" t="s">
        <v>223</v>
      </c>
      <c r="C8" s="181" t="s">
        <v>223</v>
      </c>
      <c r="D8" s="181" t="s">
        <v>223</v>
      </c>
      <c r="E8" s="182" t="s">
        <v>223</v>
      </c>
      <c r="F8" s="181" t="s">
        <v>223</v>
      </c>
      <c r="G8" s="181" t="s">
        <v>223</v>
      </c>
      <c r="H8" s="182" t="s">
        <v>223</v>
      </c>
      <c r="I8" s="181" t="s">
        <v>223</v>
      </c>
      <c r="J8" s="182" t="s">
        <v>223</v>
      </c>
      <c r="K8" s="181" t="s">
        <v>223</v>
      </c>
      <c r="L8" s="180" t="s">
        <v>223</v>
      </c>
      <c r="M8" s="181" t="s">
        <v>223</v>
      </c>
      <c r="N8" s="181" t="s">
        <v>223</v>
      </c>
      <c r="O8" s="181" t="s">
        <v>223</v>
      </c>
    </row>
    <row r="9" spans="1:15" s="330" customFormat="1" ht="18" customHeight="1">
      <c r="A9" s="174">
        <v>45535</v>
      </c>
      <c r="B9" s="180" t="s">
        <v>223</v>
      </c>
      <c r="C9" s="181" t="s">
        <v>223</v>
      </c>
      <c r="D9" s="181" t="s">
        <v>223</v>
      </c>
      <c r="E9" s="182" t="s">
        <v>223</v>
      </c>
      <c r="F9" s="181" t="s">
        <v>223</v>
      </c>
      <c r="G9" s="181" t="s">
        <v>223</v>
      </c>
      <c r="H9" s="182" t="s">
        <v>223</v>
      </c>
      <c r="I9" s="181" t="s">
        <v>223</v>
      </c>
      <c r="J9" s="182" t="s">
        <v>223</v>
      </c>
      <c r="K9" s="181" t="s">
        <v>223</v>
      </c>
      <c r="L9" s="180" t="s">
        <v>223</v>
      </c>
      <c r="M9" s="181" t="s">
        <v>223</v>
      </c>
      <c r="N9" s="181" t="s">
        <v>223</v>
      </c>
      <c r="O9" s="181" t="s">
        <v>223</v>
      </c>
    </row>
    <row r="10" spans="1:15" s="330" customFormat="1" ht="17.25" customHeight="1">
      <c r="A10" s="174">
        <v>45565</v>
      </c>
      <c r="B10" s="180"/>
      <c r="C10" s="181"/>
      <c r="D10" s="181"/>
      <c r="E10" s="182"/>
      <c r="F10" s="181"/>
      <c r="G10" s="181"/>
      <c r="H10" s="182"/>
      <c r="I10" s="181"/>
      <c r="J10" s="182"/>
      <c r="K10" s="181"/>
      <c r="L10" s="180"/>
      <c r="M10" s="181"/>
      <c r="N10" s="181"/>
      <c r="O10" s="181"/>
    </row>
    <row r="11" spans="1:15" s="330" customFormat="1">
      <c r="A11" s="174">
        <v>45596</v>
      </c>
      <c r="B11" s="180"/>
      <c r="C11" s="181"/>
      <c r="D11" s="181"/>
      <c r="E11" s="182"/>
      <c r="F11" s="181"/>
      <c r="G11" s="181"/>
      <c r="H11" s="182"/>
      <c r="I11" s="181"/>
      <c r="J11" s="182"/>
      <c r="K11" s="181"/>
      <c r="L11" s="180"/>
      <c r="M11" s="181"/>
      <c r="N11" s="181"/>
      <c r="O11" s="181"/>
    </row>
    <row r="12" spans="1:15" s="330" customFormat="1">
      <c r="A12" s="174">
        <v>45626</v>
      </c>
      <c r="B12" s="327"/>
      <c r="C12" s="327"/>
      <c r="D12" s="327"/>
      <c r="E12" s="327"/>
      <c r="F12" s="322"/>
      <c r="G12" s="322"/>
      <c r="H12" s="318"/>
      <c r="I12" s="318"/>
      <c r="J12" s="318"/>
      <c r="K12" s="318"/>
      <c r="L12" s="318"/>
      <c r="M12" s="318"/>
      <c r="N12" s="318"/>
      <c r="O12" s="318"/>
    </row>
    <row r="13" spans="1:15" s="330" customFormat="1">
      <c r="A13" s="174">
        <v>45657</v>
      </c>
      <c r="B13" s="327"/>
      <c r="C13" s="327"/>
      <c r="D13" s="327"/>
      <c r="E13" s="327"/>
      <c r="F13" s="322"/>
      <c r="G13" s="322"/>
      <c r="H13" s="327"/>
      <c r="I13" s="327"/>
      <c r="J13" s="327"/>
      <c r="K13" s="327"/>
      <c r="L13" s="322"/>
      <c r="M13" s="322"/>
      <c r="N13" s="327"/>
      <c r="O13" s="327"/>
    </row>
    <row r="14" spans="1:15" s="330" customFormat="1">
      <c r="A14" s="174">
        <v>45688</v>
      </c>
      <c r="B14" s="327"/>
      <c r="C14" s="327"/>
      <c r="D14" s="327"/>
      <c r="E14" s="327"/>
      <c r="F14" s="322"/>
      <c r="G14" s="322"/>
      <c r="H14" s="318"/>
      <c r="I14" s="318"/>
      <c r="J14" s="327"/>
      <c r="K14" s="327"/>
      <c r="L14" s="322"/>
      <c r="M14" s="322"/>
      <c r="N14" s="327"/>
      <c r="O14" s="327"/>
    </row>
    <row r="15" spans="1:15" s="330" customFormat="1">
      <c r="A15" s="174">
        <v>45716</v>
      </c>
      <c r="B15" s="327"/>
      <c r="C15" s="327"/>
      <c r="D15" s="327"/>
      <c r="E15" s="327"/>
      <c r="F15" s="322"/>
      <c r="G15" s="322"/>
      <c r="H15" s="318"/>
      <c r="I15" s="318"/>
      <c r="J15" s="327"/>
      <c r="K15" s="327"/>
      <c r="L15" s="322"/>
      <c r="M15" s="322"/>
      <c r="N15" s="327"/>
      <c r="O15" s="327"/>
    </row>
    <row r="16" spans="1:15" s="330" customFormat="1">
      <c r="A16" s="174">
        <v>45747</v>
      </c>
      <c r="B16" s="327"/>
      <c r="C16" s="327"/>
      <c r="D16" s="327"/>
      <c r="E16" s="327"/>
      <c r="F16" s="322"/>
      <c r="G16" s="322"/>
      <c r="H16" s="318"/>
      <c r="I16" s="318"/>
      <c r="J16" s="327"/>
      <c r="K16" s="327"/>
      <c r="L16" s="322"/>
      <c r="M16" s="322"/>
      <c r="N16" s="327"/>
      <c r="O16" s="327"/>
    </row>
    <row r="17" spans="1:15" s="330" customFormat="1">
      <c r="A17" s="1358" t="s">
        <v>275</v>
      </c>
      <c r="B17" s="1358"/>
      <c r="C17" s="1358"/>
      <c r="D17" s="1358"/>
      <c r="E17" s="1358"/>
      <c r="F17" s="1358"/>
      <c r="G17" s="1358"/>
      <c r="H17" s="1358"/>
      <c r="I17" s="1358"/>
      <c r="J17" s="1358"/>
      <c r="K17" s="1358"/>
      <c r="L17" s="1358"/>
      <c r="M17" s="1358"/>
      <c r="N17" s="1358"/>
      <c r="O17" s="1358"/>
    </row>
    <row r="18" spans="1:15" s="330" customFormat="1" ht="15" customHeight="1"/>
    <row r="19" spans="1:15" s="330" customFormat="1">
      <c r="A19" s="419"/>
    </row>
    <row r="20" spans="1:15">
      <c r="D20" s="92" t="s">
        <v>683</v>
      </c>
    </row>
  </sheetData>
  <mergeCells count="1">
    <mergeCell ref="A17:O17"/>
  </mergeCells>
  <printOptions horizontalCentered="1"/>
  <pageMargins left="0.78431372549019618" right="0.78431372549019618" top="0.98039215686274517" bottom="0.98039215686274517" header="0.50980392156862753" footer="0.50980392156862753"/>
  <pageSetup paperSize="9" scale="63" orientation="landscape" useFirstPageNumber="1" r:id="rId1"/>
  <headerFooter alignWithMargins="0"/>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26"/>
  <sheetViews>
    <sheetView workbookViewId="0"/>
  </sheetViews>
  <sheetFormatPr defaultColWidth="9.140625" defaultRowHeight="15"/>
  <cols>
    <col min="1" max="1" width="14.7109375" style="92" bestFit="1" customWidth="1"/>
    <col min="2" max="2" width="9.85546875" style="92" bestFit="1" customWidth="1"/>
    <col min="3" max="3" width="10.85546875" style="92" bestFit="1" customWidth="1"/>
    <col min="4" max="4" width="10" style="92" bestFit="1" customWidth="1"/>
    <col min="5" max="5" width="10.85546875" style="92" bestFit="1" customWidth="1"/>
    <col min="6" max="6" width="10" style="92" bestFit="1" customWidth="1"/>
    <col min="7" max="7" width="15.85546875" style="92" customWidth="1"/>
    <col min="8" max="8" width="14.140625" style="92" customWidth="1"/>
    <col min="9" max="9" width="13.7109375" style="92" bestFit="1" customWidth="1"/>
    <col min="10" max="10" width="15.140625" style="92" customWidth="1"/>
    <col min="11" max="11" width="13.7109375" style="92" bestFit="1" customWidth="1"/>
    <col min="12" max="12" width="13.5703125" style="92" customWidth="1"/>
    <col min="13" max="13" width="9.85546875" style="92" bestFit="1" customWidth="1"/>
    <col min="14" max="14" width="10.85546875" style="92" bestFit="1" customWidth="1"/>
    <col min="15" max="15" width="14.7109375" style="92" bestFit="1" customWidth="1"/>
    <col min="16" max="16" width="12.85546875" style="92" customWidth="1"/>
    <col min="17" max="17" width="14.140625" style="92" customWidth="1"/>
    <col min="18" max="18" width="14.5703125" style="92" customWidth="1"/>
    <col min="19" max="19" width="15.42578125" style="92" customWidth="1"/>
    <col min="20" max="20" width="13.85546875" style="92" customWidth="1"/>
    <col min="21" max="21" width="13.5703125" style="92" customWidth="1"/>
    <col min="22" max="22" width="12" style="92" customWidth="1"/>
    <col min="23" max="23" width="10.5703125" style="92" customWidth="1"/>
    <col min="24" max="24" width="14" style="92" bestFit="1" customWidth="1"/>
    <col min="25" max="25" width="11.28515625" style="92" bestFit="1" customWidth="1"/>
    <col min="26" max="16384" width="9.140625" style="92"/>
  </cols>
  <sheetData>
    <row r="1" spans="1:25" ht="18" customHeight="1">
      <c r="A1" s="148" t="s">
        <v>676</v>
      </c>
      <c r="B1" s="148"/>
      <c r="C1" s="148"/>
      <c r="D1" s="148"/>
      <c r="E1" s="148"/>
      <c r="F1" s="148"/>
      <c r="G1" s="148"/>
      <c r="H1" s="148"/>
      <c r="I1" s="148"/>
      <c r="J1" s="148"/>
      <c r="K1" s="148"/>
      <c r="L1" s="148"/>
      <c r="M1" s="148"/>
      <c r="N1" s="148"/>
      <c r="O1" s="148"/>
      <c r="P1" s="148"/>
      <c r="Q1" s="148"/>
      <c r="R1" s="148"/>
    </row>
    <row r="2" spans="1:25" s="149" customFormat="1" ht="18" customHeight="1">
      <c r="A2" s="1376" t="s">
        <v>502</v>
      </c>
      <c r="B2" s="1376" t="s">
        <v>242</v>
      </c>
      <c r="C2" s="1361" t="s">
        <v>503</v>
      </c>
      <c r="D2" s="1379"/>
      <c r="E2" s="1361" t="s">
        <v>504</v>
      </c>
      <c r="F2" s="1369"/>
      <c r="G2" s="1359" t="s">
        <v>505</v>
      </c>
      <c r="H2" s="1360"/>
      <c r="I2" s="1360"/>
      <c r="J2" s="1360"/>
      <c r="K2" s="1360"/>
      <c r="L2" s="1375"/>
      <c r="M2" s="1359" t="s">
        <v>506</v>
      </c>
      <c r="N2" s="1360"/>
      <c r="O2" s="1360"/>
      <c r="P2" s="1360"/>
      <c r="Q2" s="1360"/>
      <c r="R2" s="1375"/>
      <c r="S2" s="1359" t="s">
        <v>507</v>
      </c>
      <c r="T2" s="1360"/>
      <c r="U2" s="1360"/>
      <c r="V2" s="1361" t="s">
        <v>508</v>
      </c>
      <c r="W2" s="1362"/>
    </row>
    <row r="3" spans="1:25" s="149" customFormat="1" ht="18" customHeight="1">
      <c r="A3" s="1378"/>
      <c r="B3" s="1378"/>
      <c r="C3" s="1380"/>
      <c r="D3" s="1381"/>
      <c r="E3" s="1380"/>
      <c r="F3" s="1382"/>
      <c r="G3" s="1365" t="s">
        <v>509</v>
      </c>
      <c r="H3" s="1365"/>
      <c r="I3" s="1365"/>
      <c r="J3" s="1365" t="s">
        <v>510</v>
      </c>
      <c r="K3" s="1365"/>
      <c r="L3" s="1365"/>
      <c r="M3" s="1365" t="s">
        <v>509</v>
      </c>
      <c r="N3" s="1365"/>
      <c r="O3" s="1365"/>
      <c r="P3" s="1365" t="s">
        <v>510</v>
      </c>
      <c r="Q3" s="1365"/>
      <c r="R3" s="1365"/>
      <c r="S3" s="1366" t="s">
        <v>511</v>
      </c>
      <c r="T3" s="1361" t="s">
        <v>268</v>
      </c>
      <c r="U3" s="1369"/>
      <c r="V3" s="1363"/>
      <c r="W3" s="1364"/>
    </row>
    <row r="4" spans="1:25" s="97" customFormat="1" ht="25.5" customHeight="1">
      <c r="A4" s="1378"/>
      <c r="B4" s="1378"/>
      <c r="C4" s="1372" t="s">
        <v>512</v>
      </c>
      <c r="D4" s="1376" t="s">
        <v>268</v>
      </c>
      <c r="E4" s="1372" t="s">
        <v>513</v>
      </c>
      <c r="F4" s="1376" t="s">
        <v>268</v>
      </c>
      <c r="G4" s="1372" t="s">
        <v>514</v>
      </c>
      <c r="H4" s="1373" t="s">
        <v>268</v>
      </c>
      <c r="I4" s="1374"/>
      <c r="J4" s="1372" t="s">
        <v>514</v>
      </c>
      <c r="K4" s="1373" t="s">
        <v>268</v>
      </c>
      <c r="L4" s="1374"/>
      <c r="M4" s="1372" t="s">
        <v>514</v>
      </c>
      <c r="N4" s="1373" t="s">
        <v>268</v>
      </c>
      <c r="O4" s="1374"/>
      <c r="P4" s="1372" t="s">
        <v>511</v>
      </c>
      <c r="Q4" s="1373" t="s">
        <v>268</v>
      </c>
      <c r="R4" s="1374"/>
      <c r="S4" s="1367"/>
      <c r="T4" s="1370"/>
      <c r="U4" s="1371"/>
      <c r="V4" s="1372" t="s">
        <v>515</v>
      </c>
      <c r="W4" s="1372" t="s">
        <v>234</v>
      </c>
    </row>
    <row r="5" spans="1:25" s="97" customFormat="1" ht="13.5" customHeight="1">
      <c r="A5" s="1377"/>
      <c r="B5" s="1377"/>
      <c r="C5" s="1372"/>
      <c r="D5" s="1377"/>
      <c r="E5" s="1372"/>
      <c r="F5" s="1377"/>
      <c r="G5" s="1372"/>
      <c r="H5" s="699" t="s">
        <v>516</v>
      </c>
      <c r="I5" s="699" t="s">
        <v>517</v>
      </c>
      <c r="J5" s="1372"/>
      <c r="K5" s="699" t="s">
        <v>516</v>
      </c>
      <c r="L5" s="699" t="s">
        <v>517</v>
      </c>
      <c r="M5" s="1372"/>
      <c r="N5" s="699" t="s">
        <v>516</v>
      </c>
      <c r="O5" s="699" t="s">
        <v>517</v>
      </c>
      <c r="P5" s="1372"/>
      <c r="Q5" s="699" t="s">
        <v>516</v>
      </c>
      <c r="R5" s="699" t="s">
        <v>517</v>
      </c>
      <c r="S5" s="1368"/>
      <c r="T5" s="699" t="s">
        <v>677</v>
      </c>
      <c r="U5" s="699" t="s">
        <v>517</v>
      </c>
      <c r="V5" s="1365"/>
      <c r="W5" s="1372"/>
    </row>
    <row r="6" spans="1:25" s="97" customFormat="1">
      <c r="A6" s="700">
        <f>1</f>
        <v>1</v>
      </c>
      <c r="B6" s="701">
        <f t="shared" ref="B6:W6" si="0">A6+1</f>
        <v>2</v>
      </c>
      <c r="C6" s="701">
        <f t="shared" si="0"/>
        <v>3</v>
      </c>
      <c r="D6" s="701">
        <f t="shared" si="0"/>
        <v>4</v>
      </c>
      <c r="E6" s="701">
        <f t="shared" si="0"/>
        <v>5</v>
      </c>
      <c r="F6" s="701">
        <f t="shared" si="0"/>
        <v>6</v>
      </c>
      <c r="G6" s="701">
        <f t="shared" si="0"/>
        <v>7</v>
      </c>
      <c r="H6" s="701">
        <f t="shared" si="0"/>
        <v>8</v>
      </c>
      <c r="I6" s="701">
        <f t="shared" si="0"/>
        <v>9</v>
      </c>
      <c r="J6" s="701">
        <f t="shared" si="0"/>
        <v>10</v>
      </c>
      <c r="K6" s="701">
        <f t="shared" si="0"/>
        <v>11</v>
      </c>
      <c r="L6" s="701">
        <f t="shared" si="0"/>
        <v>12</v>
      </c>
      <c r="M6" s="701">
        <f t="shared" si="0"/>
        <v>13</v>
      </c>
      <c r="N6" s="701">
        <f t="shared" si="0"/>
        <v>14</v>
      </c>
      <c r="O6" s="701">
        <f t="shared" si="0"/>
        <v>15</v>
      </c>
      <c r="P6" s="701">
        <f t="shared" si="0"/>
        <v>16</v>
      </c>
      <c r="Q6" s="701">
        <f t="shared" si="0"/>
        <v>17</v>
      </c>
      <c r="R6" s="701">
        <f t="shared" si="0"/>
        <v>18</v>
      </c>
      <c r="S6" s="701">
        <f t="shared" si="0"/>
        <v>19</v>
      </c>
      <c r="T6" s="701">
        <f t="shared" si="0"/>
        <v>20</v>
      </c>
      <c r="U6" s="701">
        <f t="shared" si="0"/>
        <v>21</v>
      </c>
      <c r="V6" s="701">
        <f t="shared" si="0"/>
        <v>22</v>
      </c>
      <c r="W6" s="701">
        <f t="shared" si="0"/>
        <v>23</v>
      </c>
    </row>
    <row r="7" spans="1:25" s="97" customFormat="1">
      <c r="A7" s="679" t="s">
        <v>518</v>
      </c>
      <c r="B7" s="702">
        <v>246</v>
      </c>
      <c r="C7" s="703">
        <v>281532</v>
      </c>
      <c r="D7" s="703">
        <v>20247.138979424999</v>
      </c>
      <c r="E7" s="498">
        <v>1</v>
      </c>
      <c r="F7" s="498">
        <v>9.4170000000000004E-2</v>
      </c>
      <c r="G7" s="704">
        <v>5800012712</v>
      </c>
      <c r="H7" s="704">
        <v>259453.90862050003</v>
      </c>
      <c r="I7" s="704">
        <v>414316521.51317048</v>
      </c>
      <c r="J7" s="704">
        <v>5499653676</v>
      </c>
      <c r="K7" s="704">
        <v>233206.67681227502</v>
      </c>
      <c r="L7" s="704">
        <v>388498615.51731229</v>
      </c>
      <c r="M7" s="307">
        <v>0</v>
      </c>
      <c r="N7" s="307">
        <v>0</v>
      </c>
      <c r="O7" s="307">
        <v>0</v>
      </c>
      <c r="P7" s="307">
        <v>0</v>
      </c>
      <c r="Q7" s="307">
        <v>0</v>
      </c>
      <c r="R7" s="185">
        <v>0</v>
      </c>
      <c r="S7" s="704">
        <v>11299947921</v>
      </c>
      <c r="T7" s="705">
        <v>512907.81858219998</v>
      </c>
      <c r="U7" s="706">
        <v>802835384.2636323</v>
      </c>
      <c r="V7" s="704">
        <v>2183095.5</v>
      </c>
      <c r="W7" s="704">
        <v>161229.46758444002</v>
      </c>
      <c r="X7" s="150"/>
    </row>
    <row r="8" spans="1:25" s="97" customFormat="1">
      <c r="A8" s="682" t="s">
        <v>743</v>
      </c>
      <c r="B8" s="694">
        <f t="shared" ref="B8:U8" si="1">SUM(B9:B20)</f>
        <v>104</v>
      </c>
      <c r="C8" s="694">
        <f t="shared" si="1"/>
        <v>226628</v>
      </c>
      <c r="D8" s="694">
        <f t="shared" si="1"/>
        <v>18027.863130775</v>
      </c>
      <c r="E8" s="694">
        <f t="shared" si="1"/>
        <v>5502</v>
      </c>
      <c r="F8" s="694">
        <f t="shared" si="1"/>
        <v>416.830190485</v>
      </c>
      <c r="G8" s="694">
        <f t="shared" si="1"/>
        <v>7135177472</v>
      </c>
      <c r="H8" s="694">
        <f t="shared" si="1"/>
        <v>391516.61362190003</v>
      </c>
      <c r="I8" s="694">
        <f t="shared" si="1"/>
        <v>572531774.81947207</v>
      </c>
      <c r="J8" s="694">
        <f t="shared" si="1"/>
        <v>6792266999</v>
      </c>
      <c r="K8" s="694">
        <f t="shared" si="1"/>
        <v>369790.81231032504</v>
      </c>
      <c r="L8" s="694">
        <f t="shared" si="1"/>
        <v>537637282.02440977</v>
      </c>
      <c r="M8" s="694">
        <f t="shared" si="1"/>
        <v>880</v>
      </c>
      <c r="N8" s="694">
        <f t="shared" si="1"/>
        <v>1.0629618749999998</v>
      </c>
      <c r="O8" s="694">
        <f t="shared" si="1"/>
        <v>75.528736875000007</v>
      </c>
      <c r="P8" s="694">
        <f t="shared" si="1"/>
        <v>772</v>
      </c>
      <c r="Q8" s="694">
        <f t="shared" si="1"/>
        <v>0.80213749999999995</v>
      </c>
      <c r="R8" s="694">
        <f t="shared" si="1"/>
        <v>67.025787500000007</v>
      </c>
      <c r="S8" s="694">
        <f t="shared" si="1"/>
        <v>13927678253</v>
      </c>
      <c r="T8" s="694">
        <f t="shared" si="1"/>
        <v>779753.89085285994</v>
      </c>
      <c r="U8" s="694">
        <f t="shared" si="1"/>
        <v>1110187644.1845586</v>
      </c>
      <c r="V8" s="707">
        <f>INDEX(V9:V20,COUNT(V9:V20))</f>
        <v>332882</v>
      </c>
      <c r="W8" s="707">
        <f>INDEX(W9:W20,COUNT(W9:W20))</f>
        <v>28746.61</v>
      </c>
      <c r="X8" s="330"/>
      <c r="Y8" s="330"/>
    </row>
    <row r="9" spans="1:25" s="330" customFormat="1">
      <c r="A9" s="174">
        <v>45412</v>
      </c>
      <c r="B9" s="708">
        <v>20</v>
      </c>
      <c r="C9" s="709">
        <v>43584</v>
      </c>
      <c r="D9" s="709">
        <v>3336.6670426249998</v>
      </c>
      <c r="E9" s="709">
        <v>0</v>
      </c>
      <c r="F9" s="709">
        <v>0</v>
      </c>
      <c r="G9" s="709">
        <v>1136394739</v>
      </c>
      <c r="H9" s="709">
        <v>59762.223941775002</v>
      </c>
      <c r="I9" s="709">
        <v>87127144.360391781</v>
      </c>
      <c r="J9" s="709">
        <v>1087904500</v>
      </c>
      <c r="K9" s="709">
        <v>57625.138691400003</v>
      </c>
      <c r="L9" s="709">
        <v>82368154.030341387</v>
      </c>
      <c r="M9" s="709">
        <v>0</v>
      </c>
      <c r="N9" s="709">
        <v>0</v>
      </c>
      <c r="O9" s="709">
        <v>0</v>
      </c>
      <c r="P9" s="709">
        <v>0</v>
      </c>
      <c r="Q9" s="709">
        <v>0</v>
      </c>
      <c r="R9" s="709">
        <v>0</v>
      </c>
      <c r="S9" s="709">
        <v>2224342823</v>
      </c>
      <c r="T9" s="709">
        <v>120724.0296758</v>
      </c>
      <c r="U9" s="709">
        <v>169498635.05777588</v>
      </c>
      <c r="V9" s="709">
        <v>293730</v>
      </c>
      <c r="W9" s="709">
        <v>22345.473455765401</v>
      </c>
      <c r="X9" s="402"/>
    </row>
    <row r="10" spans="1:25" s="330" customFormat="1">
      <c r="A10" s="174">
        <v>45443</v>
      </c>
      <c r="B10" s="710">
        <v>22</v>
      </c>
      <c r="C10" s="709">
        <v>33975</v>
      </c>
      <c r="D10" s="709">
        <v>2552.1349276999999</v>
      </c>
      <c r="E10" s="505">
        <v>0</v>
      </c>
      <c r="F10" s="505">
        <v>0</v>
      </c>
      <c r="G10" s="709">
        <v>1480962413</v>
      </c>
      <c r="H10" s="709">
        <v>78074.340969249999</v>
      </c>
      <c r="I10" s="709">
        <v>113135370.505569</v>
      </c>
      <c r="J10" s="709">
        <v>1413930789</v>
      </c>
      <c r="K10" s="709">
        <v>80786.207591275001</v>
      </c>
      <c r="L10" s="709">
        <v>106604271.105891</v>
      </c>
      <c r="M10" s="307">
        <v>0</v>
      </c>
      <c r="N10" s="307">
        <v>0</v>
      </c>
      <c r="O10" s="307">
        <v>0</v>
      </c>
      <c r="P10" s="307">
        <v>0</v>
      </c>
      <c r="Q10" s="307">
        <v>0</v>
      </c>
      <c r="R10" s="185">
        <v>0</v>
      </c>
      <c r="S10" s="709">
        <v>2894927177</v>
      </c>
      <c r="T10" s="711">
        <v>161412.68348822501</v>
      </c>
      <c r="U10" s="711">
        <v>219742193.74638799</v>
      </c>
      <c r="V10" s="711">
        <v>150694</v>
      </c>
      <c r="W10" s="711">
        <v>12462.15</v>
      </c>
      <c r="X10" s="402"/>
    </row>
    <row r="11" spans="1:25" s="330" customFormat="1">
      <c r="A11" s="174">
        <v>45473</v>
      </c>
      <c r="B11" s="710">
        <v>19</v>
      </c>
      <c r="C11" s="709">
        <v>34978</v>
      </c>
      <c r="D11" s="709">
        <v>2723.8138489749999</v>
      </c>
      <c r="E11" s="505">
        <v>0</v>
      </c>
      <c r="F11" s="505">
        <v>0</v>
      </c>
      <c r="G11" s="709">
        <v>1346324635</v>
      </c>
      <c r="H11" s="709">
        <v>85283.051491524995</v>
      </c>
      <c r="I11" s="709">
        <v>108224842.59604155</v>
      </c>
      <c r="J11" s="709">
        <v>1242473794</v>
      </c>
      <c r="K11" s="709">
        <v>75332.357840750003</v>
      </c>
      <c r="L11" s="709">
        <v>98148144.476640731</v>
      </c>
      <c r="M11" s="307">
        <v>1</v>
      </c>
      <c r="N11" s="307">
        <v>9.4049999999999995E-2</v>
      </c>
      <c r="O11" s="307">
        <v>5.5000000000000003E-4</v>
      </c>
      <c r="P11" s="307">
        <v>0</v>
      </c>
      <c r="Q11" s="307">
        <v>0</v>
      </c>
      <c r="R11" s="185">
        <v>0</v>
      </c>
      <c r="S11" s="709">
        <v>2588833408</v>
      </c>
      <c r="T11" s="711">
        <v>163339.22373125001</v>
      </c>
      <c r="U11" s="711">
        <v>206375710.98058116</v>
      </c>
      <c r="V11" s="709">
        <v>318510</v>
      </c>
      <c r="W11" s="709">
        <v>28044.047634139999</v>
      </c>
      <c r="X11" s="402"/>
    </row>
    <row r="12" spans="1:25" s="330" customFormat="1">
      <c r="A12" s="174">
        <v>45504</v>
      </c>
      <c r="B12" s="712">
        <v>22</v>
      </c>
      <c r="C12" s="713">
        <v>59154</v>
      </c>
      <c r="D12" s="713">
        <v>4923.4785871499998</v>
      </c>
      <c r="E12" s="714">
        <v>4148</v>
      </c>
      <c r="F12" s="714">
        <v>316.13313826000001</v>
      </c>
      <c r="G12" s="713">
        <v>1552223317</v>
      </c>
      <c r="H12" s="713">
        <v>86713.362039575019</v>
      </c>
      <c r="I12" s="713">
        <v>130231536.09323999</v>
      </c>
      <c r="J12" s="713">
        <v>1498086409</v>
      </c>
      <c r="K12" s="713">
        <v>77721.036395225005</v>
      </c>
      <c r="L12" s="713">
        <v>124025065.335945</v>
      </c>
      <c r="M12" s="715">
        <v>185</v>
      </c>
      <c r="N12" s="715">
        <v>0.13121699999999997</v>
      </c>
      <c r="O12" s="715">
        <v>15.357917</v>
      </c>
      <c r="P12" s="715">
        <v>235</v>
      </c>
      <c r="Q12" s="715">
        <v>0.19669162499999998</v>
      </c>
      <c r="R12" s="716">
        <v>20.241841624999999</v>
      </c>
      <c r="S12" s="713">
        <v>3050373448</v>
      </c>
      <c r="T12" s="711">
        <v>169674.33806883497</v>
      </c>
      <c r="U12" s="711">
        <v>254261876.63999999</v>
      </c>
      <c r="V12" s="713">
        <v>386890</v>
      </c>
      <c r="W12" s="713">
        <v>31854.729854189307</v>
      </c>
    </row>
    <row r="13" spans="1:25" s="330" customFormat="1">
      <c r="A13" s="174">
        <v>45535</v>
      </c>
      <c r="B13" s="710">
        <v>21</v>
      </c>
      <c r="C13" s="709">
        <v>54937</v>
      </c>
      <c r="D13" s="709">
        <v>4491.7687243250002</v>
      </c>
      <c r="E13" s="328">
        <v>1354</v>
      </c>
      <c r="F13" s="328">
        <v>100.69705222499999</v>
      </c>
      <c r="G13" s="709">
        <v>1619272368</v>
      </c>
      <c r="H13" s="709">
        <v>81683.635179774996</v>
      </c>
      <c r="I13" s="709">
        <v>133812881.26422979</v>
      </c>
      <c r="J13" s="709">
        <v>1549871507</v>
      </c>
      <c r="K13" s="709">
        <v>78326.071791675</v>
      </c>
      <c r="L13" s="709">
        <v>126491647.07559168</v>
      </c>
      <c r="M13" s="307">
        <v>694</v>
      </c>
      <c r="N13" s="307">
        <v>0.83769487499999995</v>
      </c>
      <c r="O13" s="307">
        <v>60.170269875000002</v>
      </c>
      <c r="P13" s="307">
        <v>537</v>
      </c>
      <c r="Q13" s="715">
        <v>0.60544587500000002</v>
      </c>
      <c r="R13" s="185">
        <v>46.783945875000001</v>
      </c>
      <c r="S13" s="709">
        <v>3169201397</v>
      </c>
      <c r="T13" s="711">
        <v>164603.61588875001</v>
      </c>
      <c r="U13" s="711">
        <v>260309227.75981373</v>
      </c>
      <c r="V13" s="709">
        <v>332882</v>
      </c>
      <c r="W13" s="709">
        <v>28746.61</v>
      </c>
    </row>
    <row r="14" spans="1:25" s="330" customFormat="1">
      <c r="A14" s="174">
        <v>45565</v>
      </c>
      <c r="B14" s="710"/>
      <c r="C14" s="709"/>
      <c r="D14" s="709"/>
      <c r="E14" s="328"/>
      <c r="F14" s="328"/>
      <c r="G14" s="709"/>
      <c r="H14" s="709"/>
      <c r="I14" s="709"/>
      <c r="J14" s="709"/>
      <c r="K14" s="709"/>
      <c r="L14" s="709"/>
      <c r="M14" s="307"/>
      <c r="N14" s="307"/>
      <c r="O14" s="307"/>
      <c r="P14" s="307"/>
      <c r="Q14" s="307"/>
      <c r="R14" s="185"/>
      <c r="S14" s="709"/>
      <c r="T14" s="711"/>
      <c r="U14" s="711"/>
      <c r="V14" s="709"/>
      <c r="W14" s="709"/>
    </row>
    <row r="15" spans="1:25" s="330" customFormat="1">
      <c r="A15" s="174">
        <v>45596</v>
      </c>
      <c r="B15" s="710"/>
      <c r="C15" s="709"/>
      <c r="D15" s="709"/>
      <c r="E15" s="328"/>
      <c r="F15" s="328"/>
      <c r="G15" s="709"/>
      <c r="H15" s="709"/>
      <c r="I15" s="709"/>
      <c r="J15" s="709"/>
      <c r="K15" s="709"/>
      <c r="L15" s="709"/>
      <c r="M15" s="307"/>
      <c r="N15" s="307"/>
      <c r="O15" s="307"/>
      <c r="P15" s="307"/>
      <c r="Q15" s="307"/>
      <c r="R15" s="307"/>
      <c r="S15" s="709"/>
      <c r="T15" s="711"/>
      <c r="U15" s="711"/>
      <c r="V15" s="709"/>
      <c r="W15" s="709"/>
    </row>
    <row r="16" spans="1:25" s="330" customFormat="1">
      <c r="A16" s="174">
        <v>45626</v>
      </c>
      <c r="B16" s="327"/>
      <c r="C16" s="327"/>
      <c r="D16" s="327"/>
      <c r="E16" s="327"/>
      <c r="F16" s="322"/>
      <c r="G16" s="709"/>
      <c r="H16" s="318"/>
      <c r="I16" s="318"/>
      <c r="J16" s="709"/>
      <c r="K16" s="709"/>
      <c r="L16" s="709"/>
      <c r="M16" s="319"/>
      <c r="N16" s="307"/>
      <c r="O16" s="319"/>
      <c r="P16" s="319"/>
      <c r="Q16" s="307"/>
      <c r="R16" s="319"/>
      <c r="S16" s="709"/>
      <c r="T16" s="711"/>
      <c r="U16" s="711"/>
      <c r="V16" s="709"/>
      <c r="W16" s="709"/>
    </row>
    <row r="17" spans="1:23" s="330" customFormat="1">
      <c r="A17" s="174">
        <v>45657</v>
      </c>
      <c r="B17" s="327"/>
      <c r="C17" s="327"/>
      <c r="D17" s="327"/>
      <c r="E17" s="327"/>
      <c r="F17" s="322"/>
      <c r="G17" s="709"/>
      <c r="H17" s="318"/>
      <c r="I17" s="318"/>
      <c r="J17" s="709"/>
      <c r="K17" s="709"/>
      <c r="L17" s="709"/>
      <c r="M17" s="319"/>
      <c r="N17" s="307"/>
      <c r="O17" s="319"/>
      <c r="P17" s="319"/>
      <c r="Q17" s="307"/>
      <c r="R17" s="319"/>
      <c r="S17" s="709"/>
      <c r="T17" s="711"/>
      <c r="U17" s="711"/>
      <c r="V17" s="709"/>
      <c r="W17" s="709"/>
    </row>
    <row r="18" spans="1:23" s="330" customFormat="1">
      <c r="A18" s="174">
        <v>45688</v>
      </c>
      <c r="B18" s="327"/>
      <c r="C18" s="327"/>
      <c r="D18" s="327"/>
      <c r="E18" s="327"/>
      <c r="F18" s="322"/>
      <c r="G18" s="709"/>
      <c r="H18" s="318"/>
      <c r="I18" s="318"/>
      <c r="J18" s="709"/>
      <c r="K18" s="709"/>
      <c r="L18" s="709"/>
      <c r="M18" s="319"/>
      <c r="N18" s="307"/>
      <c r="O18" s="319"/>
      <c r="P18" s="319"/>
      <c r="Q18" s="307"/>
      <c r="R18" s="319"/>
      <c r="S18" s="709"/>
      <c r="T18" s="711"/>
      <c r="U18" s="711"/>
      <c r="V18" s="709"/>
      <c r="W18" s="709"/>
    </row>
    <row r="19" spans="1:23" s="330" customFormat="1">
      <c r="A19" s="174">
        <v>45716</v>
      </c>
      <c r="B19" s="327"/>
      <c r="C19" s="327"/>
      <c r="D19" s="327"/>
      <c r="E19" s="327"/>
      <c r="F19" s="322"/>
      <c r="G19" s="709"/>
      <c r="H19" s="318"/>
      <c r="I19" s="318"/>
      <c r="J19" s="709"/>
      <c r="K19" s="709"/>
      <c r="L19" s="709"/>
      <c r="M19" s="319"/>
      <c r="N19" s="307"/>
      <c r="O19" s="319"/>
      <c r="P19" s="319"/>
      <c r="Q19" s="307"/>
      <c r="R19" s="319"/>
      <c r="S19" s="709"/>
      <c r="T19" s="711"/>
      <c r="U19" s="711"/>
      <c r="V19" s="709"/>
      <c r="W19" s="709"/>
    </row>
    <row r="20" spans="1:23" s="330" customFormat="1">
      <c r="A20" s="174">
        <v>45747</v>
      </c>
      <c r="B20" s="327"/>
      <c r="C20" s="327"/>
      <c r="D20" s="327"/>
      <c r="E20" s="327"/>
      <c r="F20" s="342"/>
      <c r="G20" s="709"/>
      <c r="H20" s="318"/>
      <c r="I20" s="318"/>
      <c r="J20" s="709"/>
      <c r="K20" s="709"/>
      <c r="L20" s="709"/>
      <c r="M20" s="319"/>
      <c r="N20" s="307"/>
      <c r="O20" s="319"/>
      <c r="P20" s="319"/>
      <c r="Q20" s="307"/>
      <c r="R20" s="319"/>
      <c r="S20" s="709"/>
      <c r="T20" s="711"/>
      <c r="U20" s="711"/>
      <c r="V20" s="709"/>
      <c r="W20" s="709"/>
    </row>
    <row r="21" spans="1:23">
      <c r="A21" s="743" t="str">
        <f>"$ indicates as on "&amp;TEXT(IF(COUNT(B9:B20)=1,A9,IF(COUNT(B9:B20)=2,A10,IF(COUNT(B9:B20)=3,A11,IF(COUNT(B9:B20)=4,A12,IF(COUNT(B9:B20)=5,A13,IF(COUNT(B9:B20)=6,A14,IF(COUNT(B9:B20)=7,A15,IF(COUNT(B9:B20)=8,A16,IF(COUNT(B9:B20)=9,A17,IF(COUNT(B9:B20)=10,A18,IF(COUNT(B9:B20)=11,A19,A20))))))))))),"mmmm dd, yyyy")</f>
        <v>$ indicates as on August 31, 2024</v>
      </c>
      <c r="B21" s="561"/>
      <c r="C21" s="561"/>
      <c r="D21" s="561"/>
      <c r="E21" s="561"/>
      <c r="F21" s="561"/>
      <c r="G21" s="378"/>
      <c r="H21" s="378"/>
      <c r="I21" s="378"/>
      <c r="J21" s="561"/>
      <c r="K21" s="561"/>
      <c r="L21" s="561"/>
      <c r="M21" s="378"/>
      <c r="N21" s="378"/>
      <c r="O21" s="378"/>
      <c r="P21" s="561"/>
      <c r="Q21" s="561"/>
      <c r="R21" s="561"/>
    </row>
    <row r="22" spans="1:23">
      <c r="A22" s="148" t="s">
        <v>519</v>
      </c>
      <c r="B22" s="148"/>
      <c r="C22" s="148"/>
      <c r="D22" s="148"/>
      <c r="E22" s="148"/>
      <c r="F22" s="148"/>
      <c r="G22" s="378"/>
      <c r="H22" s="378"/>
      <c r="I22" s="378"/>
      <c r="J22" s="561"/>
      <c r="K22" s="561"/>
      <c r="L22" s="561"/>
      <c r="M22" s="378"/>
      <c r="N22" s="378"/>
      <c r="O22" s="378"/>
      <c r="P22" s="330"/>
      <c r="Q22" s="330"/>
      <c r="R22" s="330"/>
      <c r="S22" s="330"/>
      <c r="T22" s="186"/>
      <c r="U22" s="186"/>
      <c r="V22" s="330"/>
      <c r="W22" s="330"/>
    </row>
    <row r="23" spans="1:23">
      <c r="A23" s="561" t="s">
        <v>520</v>
      </c>
      <c r="B23" s="561"/>
      <c r="C23" s="561"/>
      <c r="D23" s="561"/>
      <c r="E23" s="561"/>
      <c r="F23" s="561"/>
      <c r="G23" s="561"/>
      <c r="H23" s="561"/>
      <c r="I23" s="561"/>
      <c r="J23" s="561"/>
      <c r="K23" s="330"/>
      <c r="L23" s="330"/>
      <c r="M23" s="330"/>
      <c r="N23" s="330"/>
      <c r="O23" s="330"/>
      <c r="P23" s="330"/>
      <c r="Q23" s="330"/>
      <c r="R23" s="330"/>
      <c r="S23" s="330"/>
      <c r="T23" s="186"/>
      <c r="U23" s="210"/>
      <c r="V23" s="330"/>
      <c r="W23" s="330"/>
    </row>
    <row r="24" spans="1:23">
      <c r="A24" s="561" t="s">
        <v>681</v>
      </c>
      <c r="B24" s="561"/>
      <c r="C24" s="561"/>
      <c r="D24" s="561"/>
      <c r="E24" s="561"/>
      <c r="F24" s="561"/>
      <c r="G24" s="561"/>
      <c r="H24" s="561"/>
      <c r="I24" s="561"/>
      <c r="J24" s="561"/>
      <c r="K24" s="330"/>
      <c r="L24" s="330"/>
      <c r="M24" s="330"/>
      <c r="N24" s="330"/>
      <c r="O24" s="330"/>
      <c r="P24" s="330"/>
      <c r="Q24" s="330"/>
      <c r="R24" s="330"/>
      <c r="S24" s="330"/>
      <c r="T24" s="186"/>
      <c r="U24" s="186"/>
      <c r="V24" s="330"/>
      <c r="W24" s="330"/>
    </row>
    <row r="25" spans="1:23">
      <c r="A25" s="1293" t="s">
        <v>305</v>
      </c>
      <c r="B25" s="1293"/>
      <c r="C25" s="1293"/>
      <c r="D25" s="1293"/>
      <c r="E25" s="1293"/>
      <c r="F25" s="1293"/>
      <c r="G25" s="1293"/>
      <c r="H25" s="1293"/>
      <c r="I25" s="1293"/>
      <c r="J25" s="1293"/>
      <c r="K25" s="330"/>
      <c r="L25" s="330"/>
      <c r="M25" s="330"/>
      <c r="N25" s="330"/>
      <c r="O25" s="330"/>
      <c r="P25" s="330"/>
      <c r="Q25" s="330"/>
      <c r="R25" s="330"/>
      <c r="S25" s="330"/>
      <c r="T25" s="186"/>
      <c r="U25" s="186"/>
      <c r="V25" s="330"/>
      <c r="W25" s="330"/>
    </row>
    <row r="26" spans="1:23">
      <c r="A26" s="419"/>
      <c r="K26" s="330"/>
      <c r="L26" s="330"/>
      <c r="M26" s="330"/>
      <c r="N26" s="330"/>
      <c r="O26" s="330"/>
      <c r="P26" s="330"/>
      <c r="Q26" s="330"/>
      <c r="R26" s="330"/>
      <c r="S26" s="330"/>
      <c r="T26" s="186"/>
      <c r="U26" s="186"/>
      <c r="V26" s="330"/>
      <c r="W26" s="330"/>
    </row>
  </sheetData>
  <mergeCells count="29">
    <mergeCell ref="A25:J25"/>
    <mergeCell ref="J4:J5"/>
    <mergeCell ref="K4:L4"/>
    <mergeCell ref="M4:M5"/>
    <mergeCell ref="N4:O4"/>
    <mergeCell ref="F4:F5"/>
    <mergeCell ref="A2:A5"/>
    <mergeCell ref="B2:B5"/>
    <mergeCell ref="C2:D3"/>
    <mergeCell ref="E2:F3"/>
    <mergeCell ref="C4:C5"/>
    <mergeCell ref="D4:D5"/>
    <mergeCell ref="E4:E5"/>
    <mergeCell ref="S2:U2"/>
    <mergeCell ref="V2:W3"/>
    <mergeCell ref="G3:I3"/>
    <mergeCell ref="J3:L3"/>
    <mergeCell ref="M3:O3"/>
    <mergeCell ref="P3:R3"/>
    <mergeCell ref="S3:S5"/>
    <mergeCell ref="T3:U4"/>
    <mergeCell ref="G4:G5"/>
    <mergeCell ref="H4:I4"/>
    <mergeCell ref="G2:L2"/>
    <mergeCell ref="M2:R2"/>
    <mergeCell ref="V4:V5"/>
    <mergeCell ref="W4:W5"/>
    <mergeCell ref="P4:P5"/>
    <mergeCell ref="Q4:R4"/>
  </mergeCells>
  <printOptions horizontalCentered="1"/>
  <pageMargins left="0.78431372549019618" right="0.78431372549019618" top="0.98039215686274517" bottom="0.98039215686274517" header="0.50980392156862753" footer="0.50980392156862753"/>
  <pageSetup paperSize="9" scale="84" fitToHeight="0" orientation="landscape" useFirstPageNumber="1" r:id="rId1"/>
  <headerFooter alignWithMargins="0"/>
  <colBreaks count="1" manualBreakCount="1">
    <brk id="12" max="26" man="1"/>
  </colBreaks>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H34"/>
  <sheetViews>
    <sheetView workbookViewId="0"/>
  </sheetViews>
  <sheetFormatPr defaultColWidth="9.140625" defaultRowHeight="15"/>
  <cols>
    <col min="1" max="1" width="12.28515625" style="92" bestFit="1" customWidth="1"/>
    <col min="2" max="2" width="9.28515625" style="92" bestFit="1" customWidth="1"/>
    <col min="3" max="4" width="13.85546875" style="92" bestFit="1" customWidth="1"/>
    <col min="5" max="5" width="14" style="92" bestFit="1" customWidth="1"/>
    <col min="6" max="6" width="13.85546875" style="92" bestFit="1" customWidth="1"/>
    <col min="7" max="7" width="15.5703125" style="92" customWidth="1"/>
    <col min="8" max="8" width="13.85546875" style="92" bestFit="1" customWidth="1"/>
    <col min="9" max="9" width="15" style="92" bestFit="1" customWidth="1"/>
    <col min="10" max="10" width="16.5703125" style="92" bestFit="1" customWidth="1"/>
    <col min="11" max="11" width="13.85546875" style="92" bestFit="1" customWidth="1"/>
    <col min="12" max="12" width="15" style="92" bestFit="1" customWidth="1"/>
    <col min="13" max="13" width="14" style="92" bestFit="1" customWidth="1"/>
    <col min="14" max="14" width="13.85546875" style="92" bestFit="1" customWidth="1"/>
    <col min="15" max="15" width="15.5703125" style="92" customWidth="1"/>
    <col min="16" max="16" width="14" style="92" bestFit="1" customWidth="1"/>
    <col min="17" max="18" width="13.85546875" style="92" bestFit="1" customWidth="1"/>
    <col min="19" max="19" width="14.5703125" style="92" customWidth="1"/>
    <col min="20" max="20" width="11" style="92" customWidth="1"/>
    <col min="21" max="21" width="18" style="92" customWidth="1"/>
    <col min="22" max="22" width="16.140625" style="92" bestFit="1" customWidth="1"/>
    <col min="23" max="23" width="11.42578125" style="92" customWidth="1"/>
    <col min="24" max="16384" width="9.140625" style="92"/>
  </cols>
  <sheetData>
    <row r="1" spans="1:25">
      <c r="A1" s="193" t="s">
        <v>678</v>
      </c>
      <c r="B1" s="193"/>
      <c r="C1" s="193"/>
      <c r="D1" s="193"/>
      <c r="E1" s="193"/>
      <c r="F1" s="193"/>
      <c r="G1" s="193"/>
      <c r="H1" s="193"/>
      <c r="I1" s="193"/>
      <c r="J1" s="193"/>
      <c r="K1" s="193"/>
      <c r="L1" s="193"/>
      <c r="M1" s="193"/>
      <c r="N1" s="193"/>
    </row>
    <row r="2" spans="1:25" s="149" customFormat="1">
      <c r="A2" s="1397" t="s">
        <v>502</v>
      </c>
      <c r="B2" s="1397" t="s">
        <v>242</v>
      </c>
      <c r="C2" s="1385" t="s">
        <v>503</v>
      </c>
      <c r="D2" s="1400"/>
      <c r="E2" s="1385" t="s">
        <v>504</v>
      </c>
      <c r="F2" s="1390"/>
      <c r="G2" s="1383" t="s">
        <v>505</v>
      </c>
      <c r="H2" s="1384"/>
      <c r="I2" s="1384"/>
      <c r="J2" s="1384"/>
      <c r="K2" s="1384"/>
      <c r="L2" s="1396"/>
      <c r="M2" s="1383" t="s">
        <v>506</v>
      </c>
      <c r="N2" s="1384"/>
      <c r="O2" s="1384"/>
      <c r="P2" s="1384"/>
      <c r="Q2" s="1384"/>
      <c r="R2" s="1396"/>
      <c r="S2" s="1383" t="s">
        <v>507</v>
      </c>
      <c r="T2" s="1384"/>
      <c r="U2" s="1384"/>
      <c r="V2" s="1385" t="s">
        <v>508</v>
      </c>
      <c r="W2" s="1386"/>
    </row>
    <row r="3" spans="1:25" s="149" customFormat="1">
      <c r="A3" s="1398"/>
      <c r="B3" s="1398"/>
      <c r="C3" s="1401"/>
      <c r="D3" s="1402"/>
      <c r="E3" s="1401"/>
      <c r="F3" s="1403"/>
      <c r="G3" s="1389" t="s">
        <v>509</v>
      </c>
      <c r="H3" s="1389"/>
      <c r="I3" s="1389"/>
      <c r="J3" s="1389" t="s">
        <v>510</v>
      </c>
      <c r="K3" s="1389"/>
      <c r="L3" s="1389"/>
      <c r="M3" s="1389" t="s">
        <v>509</v>
      </c>
      <c r="N3" s="1389"/>
      <c r="O3" s="1389"/>
      <c r="P3" s="1389" t="s">
        <v>510</v>
      </c>
      <c r="Q3" s="1389"/>
      <c r="R3" s="1389"/>
      <c r="S3" s="1366" t="s">
        <v>511</v>
      </c>
      <c r="T3" s="1385" t="s">
        <v>268</v>
      </c>
      <c r="U3" s="1390"/>
      <c r="V3" s="1387"/>
      <c r="W3" s="1388"/>
    </row>
    <row r="4" spans="1:25" s="97" customFormat="1">
      <c r="A4" s="1398"/>
      <c r="B4" s="1398"/>
      <c r="C4" s="1393" t="s">
        <v>512</v>
      </c>
      <c r="D4" s="1397" t="s">
        <v>268</v>
      </c>
      <c r="E4" s="1393" t="s">
        <v>513</v>
      </c>
      <c r="F4" s="1397" t="s">
        <v>268</v>
      </c>
      <c r="G4" s="1393" t="s">
        <v>514</v>
      </c>
      <c r="H4" s="1394" t="s">
        <v>268</v>
      </c>
      <c r="I4" s="1395"/>
      <c r="J4" s="1393" t="s">
        <v>514</v>
      </c>
      <c r="K4" s="1394" t="s">
        <v>268</v>
      </c>
      <c r="L4" s="1395"/>
      <c r="M4" s="1393" t="s">
        <v>514</v>
      </c>
      <c r="N4" s="1394" t="s">
        <v>268</v>
      </c>
      <c r="O4" s="1395"/>
      <c r="P4" s="1393" t="s">
        <v>511</v>
      </c>
      <c r="Q4" s="1394" t="s">
        <v>268</v>
      </c>
      <c r="R4" s="1395"/>
      <c r="S4" s="1367"/>
      <c r="T4" s="1391"/>
      <c r="U4" s="1392"/>
      <c r="V4" s="1393" t="s">
        <v>515</v>
      </c>
      <c r="W4" s="1393" t="s">
        <v>521</v>
      </c>
    </row>
    <row r="5" spans="1:25" s="97" customFormat="1">
      <c r="A5" s="1399"/>
      <c r="B5" s="1399"/>
      <c r="C5" s="1393"/>
      <c r="D5" s="1399"/>
      <c r="E5" s="1393"/>
      <c r="F5" s="1399"/>
      <c r="G5" s="1393"/>
      <c r="H5" s="571" t="s">
        <v>516</v>
      </c>
      <c r="I5" s="571" t="s">
        <v>517</v>
      </c>
      <c r="J5" s="1393"/>
      <c r="K5" s="571" t="s">
        <v>516</v>
      </c>
      <c r="L5" s="571" t="s">
        <v>517</v>
      </c>
      <c r="M5" s="1393"/>
      <c r="N5" s="571" t="s">
        <v>516</v>
      </c>
      <c r="O5" s="571" t="s">
        <v>517</v>
      </c>
      <c r="P5" s="1393"/>
      <c r="Q5" s="571" t="s">
        <v>516</v>
      </c>
      <c r="R5" s="571" t="s">
        <v>517</v>
      </c>
      <c r="S5" s="1368"/>
      <c r="T5" s="571" t="s">
        <v>677</v>
      </c>
      <c r="U5" s="571" t="s">
        <v>517</v>
      </c>
      <c r="V5" s="1389"/>
      <c r="W5" s="1393"/>
    </row>
    <row r="6" spans="1:25" s="97" customFormat="1">
      <c r="A6" s="183">
        <v>1</v>
      </c>
      <c r="B6" s="184">
        <v>2</v>
      </c>
      <c r="C6" s="717">
        <v>3</v>
      </c>
      <c r="D6" s="184">
        <v>4</v>
      </c>
      <c r="E6" s="184">
        <v>6</v>
      </c>
      <c r="F6" s="184">
        <v>8</v>
      </c>
      <c r="G6" s="717">
        <v>9</v>
      </c>
      <c r="H6" s="184">
        <v>10</v>
      </c>
      <c r="I6" s="717">
        <v>11</v>
      </c>
      <c r="J6" s="184">
        <v>12</v>
      </c>
      <c r="K6" s="717">
        <v>13</v>
      </c>
      <c r="L6" s="184">
        <v>14</v>
      </c>
      <c r="M6" s="717">
        <v>15</v>
      </c>
      <c r="N6" s="184">
        <v>16</v>
      </c>
      <c r="O6" s="717">
        <v>17</v>
      </c>
      <c r="P6" s="184">
        <v>18</v>
      </c>
      <c r="Q6" s="717">
        <v>19</v>
      </c>
      <c r="R6" s="184">
        <v>20</v>
      </c>
      <c r="S6" s="717">
        <v>21</v>
      </c>
      <c r="T6" s="717">
        <v>22</v>
      </c>
      <c r="U6" s="184">
        <v>23</v>
      </c>
      <c r="V6" s="184">
        <v>24</v>
      </c>
      <c r="W6" s="717">
        <v>25</v>
      </c>
    </row>
    <row r="7" spans="1:25" s="97" customFormat="1">
      <c r="A7" s="679" t="s">
        <v>518</v>
      </c>
      <c r="B7" s="187">
        <v>246</v>
      </c>
      <c r="C7" s="187">
        <v>85826189</v>
      </c>
      <c r="D7" s="187">
        <v>7417117.2654512748</v>
      </c>
      <c r="E7" s="187">
        <v>325399952</v>
      </c>
      <c r="F7" s="187">
        <v>25546966.490185678</v>
      </c>
      <c r="G7" s="187">
        <v>47921898390</v>
      </c>
      <c r="H7" s="187">
        <v>7126932.2513053035</v>
      </c>
      <c r="I7" s="187">
        <v>4061453032.6098547</v>
      </c>
      <c r="J7" s="187">
        <v>45730172862</v>
      </c>
      <c r="K7" s="187">
        <v>6692632.1376468912</v>
      </c>
      <c r="L7" s="187">
        <v>3806238245.1855206</v>
      </c>
      <c r="M7" s="187">
        <v>775801808</v>
      </c>
      <c r="N7" s="187">
        <v>1000523.2385264949</v>
      </c>
      <c r="O7" s="187">
        <v>64095047.148903705</v>
      </c>
      <c r="P7" s="187">
        <v>361845516</v>
      </c>
      <c r="Q7" s="187">
        <v>377506.70211367001</v>
      </c>
      <c r="R7" s="187">
        <v>28016743.730634663</v>
      </c>
      <c r="S7" s="187">
        <v>95200943894</v>
      </c>
      <c r="T7" s="187">
        <v>48161678.626625054</v>
      </c>
      <c r="U7" s="187">
        <v>7992767152.4305525</v>
      </c>
      <c r="V7" s="187">
        <v>15039231</v>
      </c>
      <c r="W7" s="187">
        <v>1304406.58</v>
      </c>
    </row>
    <row r="8" spans="1:25" s="97" customFormat="1">
      <c r="A8" s="682" t="s">
        <v>743</v>
      </c>
      <c r="B8" s="694">
        <f>SUM(B9:B20)</f>
        <v>104</v>
      </c>
      <c r="C8" s="694">
        <f>SUM(C9:C20)</f>
        <v>59507097</v>
      </c>
      <c r="D8" s="694">
        <f t="shared" ref="D8:U8" si="0">SUM(D9:D20)</f>
        <v>4061047.9963580747</v>
      </c>
      <c r="E8" s="694">
        <f t="shared" si="0"/>
        <v>218606386</v>
      </c>
      <c r="F8" s="694">
        <f t="shared" si="0"/>
        <v>17483832.47954347</v>
      </c>
      <c r="G8" s="694">
        <f t="shared" si="0"/>
        <v>26993459966</v>
      </c>
      <c r="H8" s="694">
        <f t="shared" si="0"/>
        <v>3316411.6764765838</v>
      </c>
      <c r="I8" s="694">
        <f t="shared" si="0"/>
        <v>1961767597.4401646</v>
      </c>
      <c r="J8" s="694">
        <f t="shared" si="0"/>
        <v>25150662322</v>
      </c>
      <c r="K8" s="694">
        <f t="shared" si="0"/>
        <v>3070160.8251572121</v>
      </c>
      <c r="L8" s="694">
        <f t="shared" si="0"/>
        <v>1781737459.2818828</v>
      </c>
      <c r="M8" s="694">
        <f t="shared" si="0"/>
        <v>458557904</v>
      </c>
      <c r="N8" s="694">
        <f t="shared" si="0"/>
        <v>639496.49950251495</v>
      </c>
      <c r="O8" s="694">
        <f t="shared" si="0"/>
        <v>38983682.086502962</v>
      </c>
      <c r="P8" s="694">
        <f t="shared" si="0"/>
        <v>211400561</v>
      </c>
      <c r="Q8" s="694">
        <f t="shared" si="0"/>
        <v>254304.38560196001</v>
      </c>
      <c r="R8" s="694">
        <f t="shared" si="0"/>
        <v>16716049.774993405</v>
      </c>
      <c r="S8" s="694">
        <f t="shared" si="0"/>
        <v>53092194236</v>
      </c>
      <c r="T8" s="694">
        <f t="shared" si="0"/>
        <v>28825253.862639807</v>
      </c>
      <c r="U8" s="694">
        <f t="shared" si="0"/>
        <v>3820749669.0594454</v>
      </c>
      <c r="V8" s="694">
        <f>INDEX(V9:V20,COUNT(V9:V20))</f>
        <v>28007325</v>
      </c>
      <c r="W8" s="233">
        <f>INDEX(W9:W20,COUNT(W9:W20))</f>
        <v>1980991.59</v>
      </c>
    </row>
    <row r="9" spans="1:25" s="330" customFormat="1">
      <c r="A9" s="174">
        <v>45412</v>
      </c>
      <c r="B9" s="308">
        <v>20</v>
      </c>
      <c r="C9" s="308">
        <v>7887086</v>
      </c>
      <c r="D9" s="308">
        <v>693063.85423822491</v>
      </c>
      <c r="E9" s="308">
        <v>36869594</v>
      </c>
      <c r="F9" s="308">
        <v>3158915.0478069698</v>
      </c>
      <c r="G9" s="308">
        <v>4259527124</v>
      </c>
      <c r="H9" s="308">
        <v>573007.90278879297</v>
      </c>
      <c r="I9" s="308">
        <v>364371027.3625766</v>
      </c>
      <c r="J9" s="308">
        <v>4078207900</v>
      </c>
      <c r="K9" s="308">
        <v>511594.34244528605</v>
      </c>
      <c r="L9" s="308">
        <v>342866336.59797037</v>
      </c>
      <c r="M9" s="308">
        <v>76010605</v>
      </c>
      <c r="N9" s="308">
        <v>113516.09941545999</v>
      </c>
      <c r="O9" s="308">
        <v>6933926.9735477092</v>
      </c>
      <c r="P9" s="308">
        <v>35324034</v>
      </c>
      <c r="Q9" s="308">
        <v>42426.619812224999</v>
      </c>
      <c r="R9" s="308">
        <v>2987417.7592714746</v>
      </c>
      <c r="S9" s="308">
        <v>8493826343</v>
      </c>
      <c r="T9" s="308">
        <v>5092523.8665069584</v>
      </c>
      <c r="U9" s="308">
        <v>721010687.59541142</v>
      </c>
      <c r="V9" s="308">
        <v>25024548</v>
      </c>
      <c r="W9" s="308">
        <v>1610978.08</v>
      </c>
    </row>
    <row r="10" spans="1:25" s="330" customFormat="1">
      <c r="A10" s="174">
        <v>45443</v>
      </c>
      <c r="B10" s="308">
        <v>22</v>
      </c>
      <c r="C10" s="308">
        <v>12867642</v>
      </c>
      <c r="D10" s="308">
        <v>806652.3009712249</v>
      </c>
      <c r="E10" s="308">
        <v>44730139</v>
      </c>
      <c r="F10" s="308">
        <v>3464429.8983681006</v>
      </c>
      <c r="G10" s="308">
        <v>5522370837</v>
      </c>
      <c r="H10" s="308">
        <v>638840.1536512709</v>
      </c>
      <c r="I10" s="308">
        <v>375294902.13408899</v>
      </c>
      <c r="J10" s="308">
        <v>5124124253</v>
      </c>
      <c r="K10" s="308">
        <v>645947.84201944189</v>
      </c>
      <c r="L10" s="308">
        <v>340061607.27425718</v>
      </c>
      <c r="M10" s="308">
        <v>92044531</v>
      </c>
      <c r="N10" s="308">
        <v>134430.54670222502</v>
      </c>
      <c r="O10" s="308">
        <v>7732031.6565477252</v>
      </c>
      <c r="P10" s="308">
        <v>42409057</v>
      </c>
      <c r="Q10" s="308">
        <v>52182.763487199984</v>
      </c>
      <c r="R10" s="308">
        <v>3302662.3989927</v>
      </c>
      <c r="S10" s="308">
        <v>10838546459</v>
      </c>
      <c r="T10" s="308">
        <v>5742483.5051994603</v>
      </c>
      <c r="U10" s="308">
        <v>730662285.66322601</v>
      </c>
      <c r="V10" s="308">
        <v>21048035</v>
      </c>
      <c r="W10" s="308">
        <v>1403628.44</v>
      </c>
      <c r="Y10" s="158"/>
    </row>
    <row r="11" spans="1:25" s="330" customFormat="1">
      <c r="A11" s="174">
        <v>45473</v>
      </c>
      <c r="B11" s="308">
        <v>19</v>
      </c>
      <c r="C11" s="308">
        <v>15202595</v>
      </c>
      <c r="D11" s="308">
        <v>983344.44168852491</v>
      </c>
      <c r="E11" s="308">
        <v>46464820</v>
      </c>
      <c r="F11" s="308">
        <v>3662528.4101865701</v>
      </c>
      <c r="G11" s="308">
        <v>5311283074</v>
      </c>
      <c r="H11" s="308">
        <v>803979.06250507606</v>
      </c>
      <c r="I11" s="308">
        <v>385233331.14759248</v>
      </c>
      <c r="J11" s="308">
        <v>4822496239</v>
      </c>
      <c r="K11" s="308">
        <v>682328.70573494199</v>
      </c>
      <c r="L11" s="308">
        <v>337381696.47595996</v>
      </c>
      <c r="M11" s="308">
        <v>94203160</v>
      </c>
      <c r="N11" s="308">
        <v>139043.34270071</v>
      </c>
      <c r="O11" s="308">
        <v>7978189.7083802111</v>
      </c>
      <c r="P11" s="308">
        <v>40640021</v>
      </c>
      <c r="Q11" s="308">
        <v>52326.558629250001</v>
      </c>
      <c r="R11" s="308">
        <v>3198611.3893715008</v>
      </c>
      <c r="S11" s="308">
        <v>10330289909</v>
      </c>
      <c r="T11" s="308">
        <v>6323550.5214450704</v>
      </c>
      <c r="U11" s="308">
        <v>738437701.57317924</v>
      </c>
      <c r="V11" s="308">
        <v>26690224</v>
      </c>
      <c r="W11" s="308">
        <v>1903259.69</v>
      </c>
    </row>
    <row r="12" spans="1:25" s="330" customFormat="1">
      <c r="A12" s="174">
        <v>45504</v>
      </c>
      <c r="B12" s="308">
        <v>22</v>
      </c>
      <c r="C12" s="308">
        <v>12229978</v>
      </c>
      <c r="D12" s="308">
        <v>825104.39946009999</v>
      </c>
      <c r="E12" s="308">
        <v>48460564</v>
      </c>
      <c r="F12" s="308">
        <v>3831730.1231818311</v>
      </c>
      <c r="G12" s="308">
        <v>5863798506</v>
      </c>
      <c r="H12" s="308">
        <v>685173.55753144401</v>
      </c>
      <c r="I12" s="308">
        <v>433760866.7959066</v>
      </c>
      <c r="J12" s="308">
        <v>5376202748</v>
      </c>
      <c r="K12" s="308">
        <v>627022.93495754199</v>
      </c>
      <c r="L12" s="308">
        <v>387726437.93369538</v>
      </c>
      <c r="M12" s="308">
        <v>101628963</v>
      </c>
      <c r="N12" s="308">
        <v>142829.51068411997</v>
      </c>
      <c r="O12" s="308">
        <v>8366184.7480273154</v>
      </c>
      <c r="P12" s="308">
        <v>46600482</v>
      </c>
      <c r="Q12" s="308">
        <v>55047.443673285001</v>
      </c>
      <c r="R12" s="308">
        <v>3561346.2273577293</v>
      </c>
      <c r="S12" s="308">
        <v>11448921241</v>
      </c>
      <c r="T12" s="308">
        <v>6166907.9694883199</v>
      </c>
      <c r="U12" s="308">
        <v>838071670.22762895</v>
      </c>
      <c r="V12" s="308">
        <v>27757631</v>
      </c>
      <c r="W12" s="308">
        <v>1925117.71</v>
      </c>
    </row>
    <row r="13" spans="1:25" s="330" customFormat="1">
      <c r="A13" s="174">
        <v>45535</v>
      </c>
      <c r="B13" s="308">
        <v>21</v>
      </c>
      <c r="C13" s="308">
        <v>11319796</v>
      </c>
      <c r="D13" s="308">
        <v>752883</v>
      </c>
      <c r="E13" s="308">
        <v>42081269</v>
      </c>
      <c r="F13" s="308">
        <v>3366229</v>
      </c>
      <c r="G13" s="308">
        <v>6036480425</v>
      </c>
      <c r="H13" s="308">
        <v>615411</v>
      </c>
      <c r="I13" s="308">
        <v>403107470</v>
      </c>
      <c r="J13" s="308">
        <v>5749631182</v>
      </c>
      <c r="K13" s="308">
        <v>603267</v>
      </c>
      <c r="L13" s="308">
        <v>373701381</v>
      </c>
      <c r="M13" s="308">
        <v>94670645</v>
      </c>
      <c r="N13" s="308">
        <v>109677</v>
      </c>
      <c r="O13" s="308">
        <v>7973349</v>
      </c>
      <c r="P13" s="308">
        <v>46426967</v>
      </c>
      <c r="Q13" s="308">
        <v>52321</v>
      </c>
      <c r="R13" s="308">
        <v>3666012</v>
      </c>
      <c r="S13" s="308">
        <v>11980610284</v>
      </c>
      <c r="T13" s="308">
        <v>5499788</v>
      </c>
      <c r="U13" s="308">
        <v>792567324</v>
      </c>
      <c r="V13" s="308">
        <v>28007325</v>
      </c>
      <c r="W13" s="308">
        <v>1980991.59</v>
      </c>
    </row>
    <row r="14" spans="1:25" s="330" customFormat="1">
      <c r="A14" s="174">
        <v>45565</v>
      </c>
      <c r="B14" s="718"/>
      <c r="C14" s="308"/>
      <c r="D14" s="308"/>
      <c r="E14" s="308"/>
      <c r="F14" s="308"/>
      <c r="G14" s="308"/>
      <c r="H14" s="308"/>
      <c r="I14" s="308"/>
      <c r="J14" s="308"/>
      <c r="K14" s="308"/>
      <c r="L14" s="308"/>
      <c r="M14" s="308"/>
      <c r="N14" s="308"/>
      <c r="O14" s="308"/>
      <c r="P14" s="308"/>
      <c r="Q14" s="308"/>
      <c r="R14" s="308"/>
      <c r="S14" s="308"/>
      <c r="T14" s="308"/>
      <c r="U14" s="308"/>
      <c r="V14" s="308"/>
      <c r="W14" s="308"/>
    </row>
    <row r="15" spans="1:25" s="330" customFormat="1">
      <c r="A15" s="174">
        <v>45596</v>
      </c>
      <c r="B15" s="308"/>
      <c r="C15" s="308"/>
      <c r="D15" s="308"/>
      <c r="E15" s="308"/>
      <c r="F15" s="308"/>
      <c r="G15" s="308"/>
      <c r="H15" s="308"/>
      <c r="I15" s="308"/>
      <c r="J15" s="308"/>
      <c r="K15" s="308"/>
      <c r="L15" s="308"/>
      <c r="M15" s="308"/>
      <c r="N15" s="308"/>
      <c r="O15" s="308"/>
      <c r="P15" s="308"/>
      <c r="Q15" s="308"/>
      <c r="R15" s="308"/>
      <c r="S15" s="308"/>
      <c r="T15" s="308"/>
      <c r="U15" s="308"/>
      <c r="V15" s="308"/>
      <c r="W15" s="308"/>
    </row>
    <row r="16" spans="1:25" s="330" customFormat="1">
      <c r="A16" s="174">
        <v>45626</v>
      </c>
      <c r="B16" s="327"/>
      <c r="C16" s="327"/>
      <c r="D16" s="327"/>
      <c r="E16" s="327"/>
      <c r="F16" s="308"/>
      <c r="G16" s="308"/>
      <c r="H16" s="318"/>
      <c r="I16" s="318"/>
      <c r="J16" s="308"/>
      <c r="K16" s="308"/>
      <c r="L16" s="308"/>
      <c r="M16" s="308"/>
      <c r="N16" s="308"/>
      <c r="O16" s="308"/>
      <c r="P16" s="308"/>
      <c r="Q16" s="308"/>
      <c r="R16" s="308"/>
      <c r="S16" s="308"/>
      <c r="T16" s="308"/>
      <c r="U16" s="308"/>
      <c r="V16" s="308"/>
      <c r="W16" s="308"/>
    </row>
    <row r="17" spans="1:34" s="330" customFormat="1">
      <c r="A17" s="174">
        <v>45657</v>
      </c>
      <c r="B17" s="327"/>
      <c r="C17" s="327"/>
      <c r="D17" s="327"/>
      <c r="E17" s="327"/>
      <c r="F17" s="308"/>
      <c r="G17" s="308"/>
      <c r="H17" s="318"/>
      <c r="I17" s="318"/>
      <c r="J17" s="308"/>
      <c r="K17" s="308"/>
      <c r="L17" s="308"/>
      <c r="M17" s="308"/>
      <c r="N17" s="308"/>
      <c r="O17" s="308"/>
      <c r="P17" s="308"/>
      <c r="Q17" s="308"/>
      <c r="R17" s="308"/>
      <c r="S17" s="308"/>
      <c r="T17" s="308"/>
      <c r="U17" s="308"/>
      <c r="V17" s="308"/>
      <c r="W17" s="308"/>
    </row>
    <row r="18" spans="1:34" s="330" customFormat="1">
      <c r="A18" s="174">
        <v>45688</v>
      </c>
      <c r="B18" s="327"/>
      <c r="C18" s="327"/>
      <c r="D18" s="327"/>
      <c r="E18" s="327"/>
      <c r="F18" s="308"/>
      <c r="G18" s="308"/>
      <c r="H18" s="318"/>
      <c r="I18" s="318"/>
      <c r="J18" s="308"/>
      <c r="K18" s="308"/>
      <c r="L18" s="308"/>
      <c r="M18" s="308"/>
      <c r="N18" s="308"/>
      <c r="O18" s="308"/>
      <c r="P18" s="308"/>
      <c r="Q18" s="308"/>
      <c r="R18" s="308"/>
      <c r="S18" s="308"/>
      <c r="T18" s="308"/>
      <c r="U18" s="308"/>
      <c r="V18" s="308"/>
      <c r="W18" s="308"/>
    </row>
    <row r="19" spans="1:34" s="330" customFormat="1">
      <c r="A19" s="174">
        <v>45716</v>
      </c>
      <c r="B19" s="327"/>
      <c r="C19" s="327"/>
      <c r="D19" s="327"/>
      <c r="E19" s="327"/>
      <c r="F19" s="308"/>
      <c r="G19" s="308"/>
      <c r="H19" s="318"/>
      <c r="I19" s="318"/>
      <c r="J19" s="308"/>
      <c r="K19" s="308"/>
      <c r="L19" s="308"/>
      <c r="M19" s="308"/>
      <c r="N19" s="308"/>
      <c r="O19" s="308"/>
      <c r="P19" s="308"/>
      <c r="Q19" s="308"/>
      <c r="R19" s="308"/>
      <c r="S19" s="308"/>
      <c r="T19" s="308"/>
      <c r="U19" s="308"/>
      <c r="V19" s="308"/>
      <c r="W19" s="308"/>
    </row>
    <row r="20" spans="1:34" s="330" customFormat="1">
      <c r="A20" s="174">
        <v>45747</v>
      </c>
      <c r="B20" s="327"/>
      <c r="C20" s="327"/>
      <c r="D20" s="327"/>
      <c r="E20" s="327"/>
      <c r="F20" s="308"/>
      <c r="G20" s="308"/>
      <c r="H20" s="318"/>
      <c r="I20" s="318"/>
      <c r="J20" s="308"/>
      <c r="K20" s="308"/>
      <c r="L20" s="308"/>
      <c r="M20" s="308"/>
      <c r="N20" s="308"/>
      <c r="O20" s="308"/>
      <c r="P20" s="308"/>
      <c r="Q20" s="308"/>
      <c r="R20" s="308"/>
      <c r="S20" s="308"/>
      <c r="T20" s="308"/>
      <c r="U20" s="308"/>
      <c r="V20" s="308"/>
      <c r="W20" s="308"/>
    </row>
    <row r="21" spans="1:34" s="330" customFormat="1">
      <c r="A21" s="743" t="str">
        <f>"$ indicates as on "&amp;TEXT(IF(COUNT(B9:B20)=1,A9,IF(COUNT(B9:B20)=2,A10,IF(COUNT(B9:B20)=3,A11,IF(COUNT(B9:B20)=4,A12,IF(COUNT(B9:B20)=5,A13,IF(COUNT(B9:B20)=6,A14,IF(COUNT(B9:B20)=7,A15,IF(COUNT(B9:B20)=8,A16,IF(COUNT(B9:B20)=9,A17,IF(COUNT(B9:B20)=10,A18,IF(COUNT(B9:B20)=11,A19,A20))))))))))),"mmmm dd, yyyy")</f>
        <v>$ indicates as on August 31, 2024</v>
      </c>
      <c r="B21" s="561"/>
      <c r="C21" s="561"/>
      <c r="D21" s="561"/>
      <c r="E21" s="561"/>
      <c r="F21" s="561"/>
      <c r="G21" s="378"/>
      <c r="H21" s="378"/>
      <c r="I21" s="378"/>
      <c r="J21" s="561"/>
      <c r="K21" s="561"/>
      <c r="L21" s="561"/>
      <c r="M21" s="378"/>
      <c r="N21" s="378"/>
      <c r="O21" s="378"/>
      <c r="T21" s="158"/>
    </row>
    <row r="22" spans="1:34" s="330" customFormat="1">
      <c r="A22" s="561" t="s">
        <v>522</v>
      </c>
      <c r="B22" s="561"/>
      <c r="C22" s="561"/>
      <c r="D22" s="561"/>
      <c r="E22" s="561"/>
      <c r="F22" s="561"/>
      <c r="G22" s="378"/>
      <c r="H22" s="378"/>
      <c r="I22" s="378"/>
      <c r="J22" s="561"/>
      <c r="K22" s="561"/>
      <c r="L22" s="561"/>
      <c r="M22" s="378"/>
      <c r="N22" s="378"/>
      <c r="O22" s="378"/>
      <c r="T22" s="158"/>
    </row>
    <row r="23" spans="1:34" s="330" customFormat="1">
      <c r="A23" s="561" t="s">
        <v>520</v>
      </c>
      <c r="B23" s="561"/>
      <c r="C23" s="561"/>
      <c r="D23" s="561"/>
      <c r="E23" s="561"/>
      <c r="F23" s="561"/>
      <c r="G23" s="561"/>
      <c r="H23" s="561"/>
      <c r="I23" s="561"/>
      <c r="J23" s="561"/>
      <c r="K23" s="561"/>
      <c r="L23" s="561"/>
      <c r="M23" s="561"/>
      <c r="N23" s="561"/>
      <c r="T23" s="158"/>
    </row>
    <row r="24" spans="1:34">
      <c r="A24" s="561" t="s">
        <v>681</v>
      </c>
      <c r="B24" s="561"/>
      <c r="C24" s="561"/>
      <c r="D24" s="561"/>
      <c r="E24" s="561"/>
      <c r="F24" s="561"/>
      <c r="G24" s="561"/>
      <c r="H24" s="561"/>
      <c r="I24" s="561"/>
      <c r="J24" s="561"/>
      <c r="K24" s="330"/>
      <c r="L24" s="330"/>
      <c r="M24" s="330"/>
      <c r="N24" s="330"/>
      <c r="O24" s="330"/>
      <c r="P24" s="330"/>
      <c r="Q24" s="330"/>
      <c r="R24" s="330"/>
      <c r="S24" s="330"/>
      <c r="T24" s="186"/>
      <c r="U24" s="186"/>
      <c r="V24" s="330"/>
      <c r="W24" s="330"/>
    </row>
    <row r="25" spans="1:34">
      <c r="A25" s="1293" t="s">
        <v>307</v>
      </c>
      <c r="B25" s="1293"/>
      <c r="C25" s="1293"/>
      <c r="D25" s="1293"/>
      <c r="E25" s="1293"/>
      <c r="F25" s="1293"/>
      <c r="G25" s="1293"/>
      <c r="H25" s="1293"/>
      <c r="I25" s="1293"/>
      <c r="J25" s="1293"/>
      <c r="K25" s="1293"/>
      <c r="L25" s="1293"/>
      <c r="M25" s="1293"/>
      <c r="N25" s="1293"/>
      <c r="O25" s="1293"/>
      <c r="P25" s="1293"/>
      <c r="Q25" s="1293"/>
      <c r="R25" s="1293"/>
      <c r="S25" s="330"/>
      <c r="T25" s="330"/>
      <c r="U25" s="330"/>
      <c r="V25" s="330"/>
      <c r="W25" s="330"/>
      <c r="X25" s="330"/>
      <c r="Y25" s="330"/>
      <c r="Z25" s="330"/>
      <c r="AA25" s="330"/>
      <c r="AB25" s="330"/>
      <c r="AC25" s="330"/>
      <c r="AD25" s="330"/>
      <c r="AE25" s="330"/>
      <c r="AF25" s="330"/>
      <c r="AG25" s="330"/>
      <c r="AH25" s="330"/>
    </row>
    <row r="26" spans="1:34">
      <c r="A26" s="419"/>
      <c r="Q26" s="115"/>
      <c r="S26" s="330"/>
      <c r="T26" s="330"/>
      <c r="U26" s="330"/>
      <c r="V26" s="330"/>
      <c r="W26" s="330"/>
      <c r="X26" s="330"/>
      <c r="Y26" s="330"/>
      <c r="Z26" s="330"/>
      <c r="AA26" s="330"/>
      <c r="AB26" s="330"/>
      <c r="AC26" s="330"/>
      <c r="AD26" s="330"/>
      <c r="AE26" s="330"/>
      <c r="AF26" s="330"/>
      <c r="AG26" s="330"/>
      <c r="AH26" s="330"/>
    </row>
    <row r="27" spans="1:34">
      <c r="Q27" s="115"/>
      <c r="T27" s="115"/>
      <c r="U27" s="151"/>
    </row>
    <row r="28" spans="1:34">
      <c r="Q28" s="115"/>
      <c r="U28" s="151"/>
    </row>
    <row r="29" spans="1:34">
      <c r="Q29" s="115"/>
      <c r="U29" s="151"/>
    </row>
    <row r="30" spans="1:34">
      <c r="Q30" s="115"/>
      <c r="U30" s="151"/>
    </row>
    <row r="31" spans="1:34">
      <c r="Q31" s="115"/>
      <c r="U31" s="151"/>
    </row>
    <row r="32" spans="1:34">
      <c r="Q32" s="115"/>
      <c r="U32" s="151"/>
    </row>
    <row r="33" spans="17:17">
      <c r="Q33" s="115"/>
    </row>
    <row r="34" spans="17:17">
      <c r="Q34" s="115"/>
    </row>
  </sheetData>
  <mergeCells count="29">
    <mergeCell ref="A25:R25"/>
    <mergeCell ref="J4:J5"/>
    <mergeCell ref="K4:L4"/>
    <mergeCell ref="M4:M5"/>
    <mergeCell ref="N4:O4"/>
    <mergeCell ref="P4:P5"/>
    <mergeCell ref="Q4:R4"/>
    <mergeCell ref="A2:A5"/>
    <mergeCell ref="B2:B5"/>
    <mergeCell ref="C2:D3"/>
    <mergeCell ref="E2:F3"/>
    <mergeCell ref="C4:C5"/>
    <mergeCell ref="D4:D5"/>
    <mergeCell ref="E4:E5"/>
    <mergeCell ref="F4:F5"/>
    <mergeCell ref="S2:U2"/>
    <mergeCell ref="V2:W3"/>
    <mergeCell ref="G3:I3"/>
    <mergeCell ref="J3:L3"/>
    <mergeCell ref="M3:O3"/>
    <mergeCell ref="P3:R3"/>
    <mergeCell ref="S3:S5"/>
    <mergeCell ref="T3:U4"/>
    <mergeCell ref="G4:G5"/>
    <mergeCell ref="H4:I4"/>
    <mergeCell ref="G2:L2"/>
    <mergeCell ref="M2:R2"/>
    <mergeCell ref="V4:V5"/>
    <mergeCell ref="W4:W5"/>
  </mergeCells>
  <printOptions horizontalCentered="1"/>
  <pageMargins left="0.78431372549019618" right="0.78431372549019618" top="0.98039215686274517" bottom="0.98039215686274517" header="0.50980392156862753" footer="0.50980392156862753"/>
  <pageSetup paperSize="9" scale="77" orientation="landscape" useFirstPageNumber="1" r:id="rId1"/>
  <headerFooter alignWithMargins="0"/>
  <colBreaks count="1" manualBreakCount="1">
    <brk id="12" max="25" man="1"/>
  </colBreaks>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23"/>
  <sheetViews>
    <sheetView workbookViewId="0"/>
  </sheetViews>
  <sheetFormatPr defaultColWidth="9.140625" defaultRowHeight="15"/>
  <cols>
    <col min="1" max="1" width="13.42578125" style="92" bestFit="1" customWidth="1"/>
    <col min="2" max="3" width="10.5703125" style="92" bestFit="1" customWidth="1"/>
    <col min="4" max="4" width="10.5703125" style="92" customWidth="1"/>
    <col min="5" max="7" width="10.5703125" style="92" bestFit="1" customWidth="1"/>
    <col min="8" max="8" width="11.42578125" style="92" bestFit="1" customWidth="1"/>
    <col min="9" max="13" width="10.5703125" style="92" bestFit="1" customWidth="1"/>
    <col min="14" max="14" width="10.85546875" style="92" bestFit="1" customWidth="1"/>
    <col min="15" max="15" width="9.140625" style="92" customWidth="1"/>
    <col min="16" max="16384" width="9.140625" style="92"/>
  </cols>
  <sheetData>
    <row r="1" spans="1:15" ht="17.25" customHeight="1">
      <c r="A1" s="193" t="s">
        <v>523</v>
      </c>
      <c r="B1" s="193"/>
      <c r="C1" s="193"/>
      <c r="D1" s="193"/>
      <c r="E1" s="193"/>
      <c r="F1" s="193"/>
      <c r="G1" s="193"/>
      <c r="H1" s="193"/>
      <c r="I1" s="193"/>
      <c r="J1" s="193"/>
      <c r="K1" s="193"/>
      <c r="L1" s="193"/>
      <c r="M1" s="193"/>
      <c r="N1" s="193"/>
    </row>
    <row r="2" spans="1:15" s="330" customFormat="1" ht="17.25" customHeight="1">
      <c r="A2" s="1406" t="s">
        <v>524</v>
      </c>
      <c r="B2" s="1408" t="s">
        <v>73</v>
      </c>
      <c r="C2" s="1409"/>
      <c r="D2" s="1409"/>
      <c r="E2" s="1409"/>
      <c r="F2" s="1409"/>
      <c r="G2" s="1409"/>
      <c r="H2" s="1410"/>
      <c r="I2" s="1408" t="s">
        <v>74</v>
      </c>
      <c r="J2" s="1409"/>
      <c r="K2" s="1409"/>
      <c r="L2" s="1409"/>
      <c r="M2" s="1409"/>
      <c r="N2" s="1410"/>
    </row>
    <row r="3" spans="1:15" s="330" customFormat="1" ht="27" customHeight="1">
      <c r="A3" s="1407"/>
      <c r="B3" s="1411" t="s">
        <v>525</v>
      </c>
      <c r="C3" s="1412"/>
      <c r="D3" s="1413"/>
      <c r="E3" s="1411" t="s">
        <v>526</v>
      </c>
      <c r="F3" s="1414"/>
      <c r="G3" s="1415" t="s">
        <v>96</v>
      </c>
      <c r="H3" s="1404" t="s">
        <v>527</v>
      </c>
      <c r="I3" s="1411" t="s">
        <v>525</v>
      </c>
      <c r="J3" s="1414"/>
      <c r="K3" s="1411" t="s">
        <v>526</v>
      </c>
      <c r="L3" s="1414"/>
      <c r="M3" s="1415" t="s">
        <v>96</v>
      </c>
      <c r="N3" s="1404" t="s">
        <v>527</v>
      </c>
    </row>
    <row r="4" spans="1:15" s="330" customFormat="1" ht="40.5" customHeight="1">
      <c r="A4" s="1314"/>
      <c r="B4" s="506" t="s">
        <v>528</v>
      </c>
      <c r="C4" s="506" t="s">
        <v>529</v>
      </c>
      <c r="D4" s="506" t="s">
        <v>530</v>
      </c>
      <c r="E4" s="506" t="s">
        <v>531</v>
      </c>
      <c r="F4" s="506" t="s">
        <v>532</v>
      </c>
      <c r="G4" s="1329"/>
      <c r="H4" s="1405"/>
      <c r="I4" s="506" t="s">
        <v>528</v>
      </c>
      <c r="J4" s="506" t="s">
        <v>529</v>
      </c>
      <c r="K4" s="506" t="s">
        <v>531</v>
      </c>
      <c r="L4" s="506" t="s">
        <v>532</v>
      </c>
      <c r="M4" s="1329"/>
      <c r="N4" s="1405"/>
    </row>
    <row r="5" spans="1:15" s="97" customFormat="1" ht="18" customHeight="1">
      <c r="A5" s="679" t="s">
        <v>518</v>
      </c>
      <c r="B5" s="498">
        <v>6005.4689470599969</v>
      </c>
      <c r="C5" s="498">
        <v>164.23793094499999</v>
      </c>
      <c r="D5" s="498" t="s">
        <v>235</v>
      </c>
      <c r="E5" s="498">
        <v>3919.1981626499987</v>
      </c>
      <c r="F5" s="498">
        <v>819.87672012999997</v>
      </c>
      <c r="G5" s="498">
        <v>10908.781760784997</v>
      </c>
      <c r="H5" s="498">
        <v>100.92</v>
      </c>
      <c r="I5" s="494">
        <v>239700.49895134001</v>
      </c>
      <c r="J5" s="498">
        <v>3940.7345781600002</v>
      </c>
      <c r="K5" s="498">
        <v>112155.91993335501</v>
      </c>
      <c r="L5" s="498">
        <v>24024.773700040001</v>
      </c>
      <c r="M5" s="494">
        <v>379821.92716289504</v>
      </c>
      <c r="N5" s="498">
        <v>4264.49</v>
      </c>
      <c r="O5" s="98"/>
    </row>
    <row r="6" spans="1:15" s="97" customFormat="1" ht="18" customHeight="1">
      <c r="A6" s="682" t="s">
        <v>743</v>
      </c>
      <c r="B6" s="694">
        <f>SUM(B7:B18)</f>
        <v>3072.0667373459969</v>
      </c>
      <c r="C6" s="694">
        <f>SUM(C7:C18)</f>
        <v>56.198380690999997</v>
      </c>
      <c r="D6" s="320" t="s">
        <v>235</v>
      </c>
      <c r="E6" s="694">
        <f>SUM(E7:E18)</f>
        <v>2420.8934201749989</v>
      </c>
      <c r="F6" s="694">
        <f>SUM(F7:F18)</f>
        <v>1039.6905132500001</v>
      </c>
      <c r="G6" s="694">
        <f>SUM(G7:G18)</f>
        <v>6588.8490514619989</v>
      </c>
      <c r="H6" s="694">
        <f>INDEX(H7:H18,COUNT(H7:H18))</f>
        <v>109.02</v>
      </c>
      <c r="I6" s="694">
        <v>198743.74656346501</v>
      </c>
      <c r="J6" s="694">
        <v>2171.4331880280001</v>
      </c>
      <c r="K6" s="694">
        <v>64947.476610534999</v>
      </c>
      <c r="L6" s="694">
        <v>19251.822291730001</v>
      </c>
      <c r="M6" s="694">
        <v>285114.47865375801</v>
      </c>
      <c r="N6" s="694">
        <v>7950.8</v>
      </c>
      <c r="O6" s="98"/>
    </row>
    <row r="7" spans="1:15" s="330" customFormat="1" ht="18" customHeight="1">
      <c r="A7" s="174">
        <v>45412</v>
      </c>
      <c r="B7" s="328">
        <v>1065.200784115</v>
      </c>
      <c r="C7" s="328">
        <v>6.8701903949999998</v>
      </c>
      <c r="D7" s="320">
        <v>0</v>
      </c>
      <c r="E7" s="328">
        <v>402.05085907</v>
      </c>
      <c r="F7" s="328">
        <v>204.05946348500001</v>
      </c>
      <c r="G7" s="328">
        <v>1678.1812970650001</v>
      </c>
      <c r="H7" s="328">
        <v>102.32</v>
      </c>
      <c r="I7" s="320">
        <v>24836.53903222</v>
      </c>
      <c r="J7" s="320">
        <v>435.98307411500002</v>
      </c>
      <c r="K7" s="320">
        <v>11915.182982415001</v>
      </c>
      <c r="L7" s="320">
        <v>3958.24647258</v>
      </c>
      <c r="M7" s="320">
        <v>41145.951561330003</v>
      </c>
      <c r="N7" s="320">
        <v>4293.95</v>
      </c>
      <c r="O7" s="97"/>
    </row>
    <row r="8" spans="1:15" s="330" customFormat="1" ht="18" customHeight="1">
      <c r="A8" s="174">
        <v>45443</v>
      </c>
      <c r="B8" s="328">
        <v>391.62876141499999</v>
      </c>
      <c r="C8" s="328">
        <v>7.5643721099999901</v>
      </c>
      <c r="D8" s="320">
        <v>0</v>
      </c>
      <c r="E8" s="328">
        <v>287.96325990999998</v>
      </c>
      <c r="F8" s="328">
        <v>192.80091651500001</v>
      </c>
      <c r="G8" s="328">
        <v>879.95730994999997</v>
      </c>
      <c r="H8" s="328">
        <v>104.35</v>
      </c>
      <c r="I8" s="328">
        <v>37390.639999999999</v>
      </c>
      <c r="J8" s="328">
        <v>862.45</v>
      </c>
      <c r="K8" s="328">
        <v>14393.78</v>
      </c>
      <c r="L8" s="328">
        <v>3302.45</v>
      </c>
      <c r="M8" s="328">
        <v>55949.32</v>
      </c>
      <c r="N8" s="328">
        <v>4379.67</v>
      </c>
      <c r="O8" s="97"/>
    </row>
    <row r="9" spans="1:15" s="330" customFormat="1" ht="18" customHeight="1">
      <c r="A9" s="174">
        <v>45473</v>
      </c>
      <c r="B9" s="328">
        <v>1113.9646488149999</v>
      </c>
      <c r="C9" s="328">
        <v>9.5482689359999906</v>
      </c>
      <c r="D9" s="320">
        <v>0</v>
      </c>
      <c r="E9" s="328">
        <v>882.946808699999</v>
      </c>
      <c r="F9" s="328">
        <v>296.06176183999997</v>
      </c>
      <c r="G9" s="328">
        <v>2302.521488291</v>
      </c>
      <c r="H9" s="328">
        <v>105.62</v>
      </c>
      <c r="I9" s="328">
        <v>58839.046623355003</v>
      </c>
      <c r="J9" s="328">
        <v>348.60119435299998</v>
      </c>
      <c r="K9" s="328">
        <v>13912.504472234999</v>
      </c>
      <c r="L9" s="328">
        <v>5283.6635685749998</v>
      </c>
      <c r="M9" s="328">
        <v>78383.815858518006</v>
      </c>
      <c r="N9" s="328">
        <v>7759.44</v>
      </c>
      <c r="O9" s="97"/>
    </row>
    <row r="10" spans="1:15" s="330" customFormat="1" ht="18" customHeight="1">
      <c r="A10" s="174">
        <v>45504</v>
      </c>
      <c r="B10" s="328">
        <v>441.96254300099758</v>
      </c>
      <c r="C10" s="328">
        <v>16.795549250000011</v>
      </c>
      <c r="D10" s="328">
        <v>0</v>
      </c>
      <c r="E10" s="328">
        <v>370.75249249500018</v>
      </c>
      <c r="F10" s="328">
        <v>184.41837141000005</v>
      </c>
      <c r="G10" s="328">
        <v>1013.9289561559981</v>
      </c>
      <c r="H10" s="328">
        <v>107.15</v>
      </c>
      <c r="I10" s="328">
        <v>34038.46</v>
      </c>
      <c r="J10" s="328">
        <v>270.26</v>
      </c>
      <c r="K10" s="328">
        <v>12522.08</v>
      </c>
      <c r="L10" s="328">
        <v>3257.71</v>
      </c>
      <c r="M10" s="328">
        <v>50088.51</v>
      </c>
      <c r="N10" s="328">
        <v>7872.74</v>
      </c>
    </row>
    <row r="11" spans="1:15" s="330" customFormat="1" ht="18" customHeight="1">
      <c r="A11" s="174">
        <v>45535</v>
      </c>
      <c r="B11" s="328">
        <v>59.309999999999995</v>
      </c>
      <c r="C11" s="328">
        <v>15.42</v>
      </c>
      <c r="D11" s="328">
        <v>0</v>
      </c>
      <c r="E11" s="328">
        <v>477.18</v>
      </c>
      <c r="F11" s="328">
        <v>162.35</v>
      </c>
      <c r="G11" s="328">
        <v>714.26</v>
      </c>
      <c r="H11" s="328">
        <v>109.02</v>
      </c>
      <c r="I11" s="328">
        <v>43639.065664836002</v>
      </c>
      <c r="J11" s="328">
        <v>254.13425323800001</v>
      </c>
      <c r="K11" s="328">
        <v>12203.922434825001</v>
      </c>
      <c r="L11" s="328">
        <v>3449.7523992850001</v>
      </c>
      <c r="M11" s="328">
        <v>59546.874752183998</v>
      </c>
      <c r="N11" s="328">
        <v>7950</v>
      </c>
    </row>
    <row r="12" spans="1:15" s="330" customFormat="1" ht="14.25" customHeight="1">
      <c r="A12" s="174">
        <v>45565</v>
      </c>
      <c r="B12" s="328"/>
      <c r="C12" s="328"/>
      <c r="D12" s="320"/>
      <c r="E12" s="328"/>
      <c r="F12" s="328"/>
      <c r="G12" s="328"/>
      <c r="H12" s="328"/>
      <c r="I12" s="328"/>
      <c r="J12" s="328"/>
      <c r="K12" s="328"/>
      <c r="L12" s="328"/>
      <c r="M12" s="328"/>
      <c r="N12" s="328"/>
    </row>
    <row r="13" spans="1:15" s="330" customFormat="1" ht="12.75" customHeight="1">
      <c r="A13" s="174">
        <v>45596</v>
      </c>
      <c r="B13" s="328"/>
      <c r="C13" s="328"/>
      <c r="D13" s="320"/>
      <c r="E13" s="328"/>
      <c r="F13" s="328"/>
      <c r="G13" s="328"/>
      <c r="H13" s="328"/>
      <c r="I13" s="328"/>
      <c r="J13" s="328"/>
      <c r="K13" s="328"/>
      <c r="L13" s="328"/>
      <c r="M13" s="328"/>
      <c r="N13" s="328"/>
    </row>
    <row r="14" spans="1:15" s="330" customFormat="1">
      <c r="A14" s="174">
        <v>45626</v>
      </c>
      <c r="B14" s="328"/>
      <c r="C14" s="328"/>
      <c r="D14" s="320"/>
      <c r="E14" s="328"/>
      <c r="F14" s="328"/>
      <c r="G14" s="328"/>
      <c r="H14" s="328"/>
      <c r="I14" s="328"/>
      <c r="J14" s="328"/>
      <c r="K14" s="328"/>
      <c r="L14" s="328"/>
      <c r="M14" s="328"/>
      <c r="N14" s="328"/>
    </row>
    <row r="15" spans="1:15" s="330" customFormat="1">
      <c r="A15" s="174">
        <v>45657</v>
      </c>
      <c r="B15" s="328"/>
      <c r="C15" s="328"/>
      <c r="D15" s="320"/>
      <c r="E15" s="328"/>
      <c r="F15" s="328"/>
      <c r="G15" s="328"/>
      <c r="H15" s="328"/>
      <c r="I15" s="328"/>
      <c r="J15" s="328"/>
      <c r="K15" s="328"/>
      <c r="L15" s="328"/>
      <c r="M15" s="328"/>
      <c r="N15" s="328"/>
    </row>
    <row r="16" spans="1:15" s="330" customFormat="1">
      <c r="A16" s="174">
        <v>45688</v>
      </c>
      <c r="B16" s="328"/>
      <c r="C16" s="328"/>
      <c r="D16" s="320"/>
      <c r="E16" s="328"/>
      <c r="F16" s="328"/>
      <c r="G16" s="328"/>
      <c r="H16" s="328"/>
      <c r="I16" s="328"/>
      <c r="J16" s="328"/>
      <c r="K16" s="328"/>
      <c r="L16" s="328"/>
      <c r="M16" s="328"/>
      <c r="N16" s="328"/>
    </row>
    <row r="17" spans="1:14" s="330" customFormat="1">
      <c r="A17" s="174">
        <v>45716</v>
      </c>
      <c r="B17" s="328"/>
      <c r="C17" s="328"/>
      <c r="D17" s="320"/>
      <c r="E17" s="328"/>
      <c r="F17" s="328"/>
      <c r="G17" s="328"/>
      <c r="H17" s="328"/>
      <c r="I17" s="328"/>
      <c r="J17" s="328"/>
      <c r="K17" s="328"/>
      <c r="L17" s="328"/>
      <c r="M17" s="328"/>
      <c r="N17" s="328"/>
    </row>
    <row r="18" spans="1:14" s="330" customFormat="1">
      <c r="A18" s="174">
        <v>45747</v>
      </c>
      <c r="B18" s="328"/>
      <c r="C18" s="328"/>
      <c r="D18" s="320"/>
      <c r="E18" s="328"/>
      <c r="F18" s="328"/>
      <c r="G18" s="328"/>
      <c r="H18" s="328"/>
      <c r="I18" s="328"/>
      <c r="J18" s="328"/>
      <c r="K18" s="328"/>
      <c r="L18" s="328"/>
      <c r="M18" s="328"/>
      <c r="N18" s="328"/>
    </row>
    <row r="19" spans="1:14" s="330" customFormat="1">
      <c r="A19" s="743" t="str">
        <f>"$ indicates as on "&amp;TEXT(IF(COUNT(B7:B18)=1,A7,IF(COUNT(B7:B18)=2,A8,IF(COUNT(B7:B18)=3,A9,IF(COUNT(B7:B18)=4,A10,IF(COUNT(B7:B18)=5,A11,IF(COUNT(B7:B18)=6,A12,IF(COUNT(B7:B18)=7,A13,IF(COUNT(B7:B18)=8,A14,IF(COUNT(B7:B18)=9,A15,IF(COUNT(B7:B18)=10,A16,IF(COUNT(B7:B18)=11,A17,A18))))))))))),"mmmm dd, yyyy")</f>
        <v>$ indicates as on August 31, 2024</v>
      </c>
      <c r="B19" s="332"/>
      <c r="C19" s="332"/>
      <c r="D19" s="364"/>
      <c r="E19" s="332"/>
      <c r="F19" s="332"/>
      <c r="G19" s="332"/>
      <c r="H19" s="332"/>
      <c r="I19" s="332"/>
      <c r="J19" s="332"/>
      <c r="K19" s="332"/>
      <c r="L19" s="332"/>
      <c r="M19" s="332"/>
      <c r="N19" s="332"/>
    </row>
    <row r="20" spans="1:14" s="330" customFormat="1">
      <c r="A20" s="540" t="s">
        <v>844</v>
      </c>
      <c r="B20" s="332"/>
      <c r="C20" s="332"/>
      <c r="D20" s="364"/>
      <c r="E20" s="332"/>
      <c r="F20" s="332"/>
      <c r="G20" s="332"/>
      <c r="H20" s="332"/>
      <c r="I20" s="332"/>
      <c r="J20" s="332"/>
      <c r="K20" s="332"/>
      <c r="L20" s="332"/>
      <c r="M20" s="332"/>
      <c r="N20" s="332"/>
    </row>
    <row r="21" spans="1:14" s="330" customFormat="1">
      <c r="A21" s="1293" t="s">
        <v>173</v>
      </c>
      <c r="B21" s="1293"/>
      <c r="C21" s="1293"/>
      <c r="D21" s="1293"/>
      <c r="E21" s="1293"/>
    </row>
    <row r="22" spans="1:14" s="330" customFormat="1">
      <c r="A22" s="419"/>
      <c r="B22" s="105"/>
      <c r="C22" s="105"/>
      <c r="D22" s="105"/>
      <c r="E22" s="105"/>
    </row>
    <row r="23" spans="1:14">
      <c r="F23" s="105"/>
      <c r="G23" s="105"/>
      <c r="H23" s="105"/>
      <c r="I23" s="105"/>
      <c r="J23" s="105"/>
      <c r="K23" s="105"/>
      <c r="L23" s="105"/>
      <c r="M23" s="105"/>
    </row>
  </sheetData>
  <mergeCells count="12">
    <mergeCell ref="N3:N4"/>
    <mergeCell ref="A21:E21"/>
    <mergeCell ref="A2:A4"/>
    <mergeCell ref="B2:H2"/>
    <mergeCell ref="I2:N2"/>
    <mergeCell ref="B3:D3"/>
    <mergeCell ref="E3:F3"/>
    <mergeCell ref="G3:G4"/>
    <mergeCell ref="H3:H4"/>
    <mergeCell ref="I3:J3"/>
    <mergeCell ref="K3:L3"/>
    <mergeCell ref="M3:M4"/>
  </mergeCells>
  <printOptions horizontalCentered="1"/>
  <pageMargins left="0.78431372549019618" right="0.78431372549019618" top="0.98039215686274517" bottom="0.98039215686274517" header="0.50980392156862753" footer="0.50980392156862753"/>
  <pageSetup paperSize="9" scale="80" fitToHeight="0" orientation="landscape" useFirstPageNumber="1" r:id="rId1"/>
  <headerFooter alignWithMargins="0"/>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21"/>
  <sheetViews>
    <sheetView workbookViewId="0"/>
  </sheetViews>
  <sheetFormatPr defaultColWidth="9.140625" defaultRowHeight="15"/>
  <cols>
    <col min="1" max="11" width="14.5703125" style="92" bestFit="1" customWidth="1"/>
    <col min="12" max="12" width="4.5703125" style="92" bestFit="1" customWidth="1"/>
    <col min="13" max="16384" width="9.140625" style="92"/>
  </cols>
  <sheetData>
    <row r="1" spans="1:11">
      <c r="A1" s="193" t="s">
        <v>33</v>
      </c>
      <c r="B1" s="193"/>
      <c r="C1" s="193"/>
      <c r="D1" s="193"/>
      <c r="E1" s="193"/>
      <c r="F1" s="193"/>
      <c r="G1" s="193"/>
      <c r="H1" s="193"/>
      <c r="I1" s="193"/>
      <c r="J1" s="193"/>
      <c r="K1" s="193"/>
    </row>
    <row r="2" spans="1:11" s="330" customFormat="1">
      <c r="A2" s="1415" t="s">
        <v>170</v>
      </c>
      <c r="B2" s="1408" t="s">
        <v>301</v>
      </c>
      <c r="C2" s="1409"/>
      <c r="D2" s="1409"/>
      <c r="E2" s="1409"/>
      <c r="F2" s="1410"/>
      <c r="G2" s="1408" t="s">
        <v>533</v>
      </c>
      <c r="H2" s="1409"/>
      <c r="I2" s="1409"/>
      <c r="J2" s="1409"/>
      <c r="K2" s="1410"/>
    </row>
    <row r="3" spans="1:11" s="330" customFormat="1">
      <c r="A3" s="1329"/>
      <c r="B3" s="507" t="s">
        <v>534</v>
      </c>
      <c r="C3" s="507" t="s">
        <v>303</v>
      </c>
      <c r="D3" s="507" t="s">
        <v>80</v>
      </c>
      <c r="E3" s="507" t="s">
        <v>304</v>
      </c>
      <c r="F3" s="507" t="s">
        <v>300</v>
      </c>
      <c r="G3" s="507" t="s">
        <v>534</v>
      </c>
      <c r="H3" s="507" t="s">
        <v>303</v>
      </c>
      <c r="I3" s="507" t="s">
        <v>80</v>
      </c>
      <c r="J3" s="507" t="s">
        <v>304</v>
      </c>
      <c r="K3" s="507" t="s">
        <v>300</v>
      </c>
    </row>
    <row r="4" spans="1:11" s="330" customFormat="1">
      <c r="A4" s="679" t="s">
        <v>518</v>
      </c>
      <c r="B4" s="497">
        <v>68.718276651998536</v>
      </c>
      <c r="C4" s="497">
        <v>1.8481793310764119</v>
      </c>
      <c r="D4" s="497">
        <v>0</v>
      </c>
      <c r="E4" s="497">
        <v>0</v>
      </c>
      <c r="F4" s="497">
        <v>29.433544016925051</v>
      </c>
      <c r="G4" s="497">
        <v>18.311075544613018</v>
      </c>
      <c r="H4" s="497">
        <v>0</v>
      </c>
      <c r="I4" s="497">
        <v>0</v>
      </c>
      <c r="J4" s="497">
        <v>0</v>
      </c>
      <c r="K4" s="497">
        <v>81.688924455386967</v>
      </c>
    </row>
    <row r="5" spans="1:11" s="330" customFormat="1">
      <c r="A5" s="682" t="s">
        <v>743</v>
      </c>
      <c r="B5" s="719">
        <v>70.637457476006048</v>
      </c>
      <c r="C5" s="719">
        <v>1.2487350105402084</v>
      </c>
      <c r="D5" s="719">
        <v>0</v>
      </c>
      <c r="E5" s="719">
        <v>0</v>
      </c>
      <c r="F5" s="719">
        <v>28.113807513453754</v>
      </c>
      <c r="G5" s="720">
        <f>INDEX(G6:G17,COUNT(G6:G17))</f>
        <v>32.508907022815393</v>
      </c>
      <c r="H5" s="720">
        <f>INDEX(H6:H17,COUNT(H6:H17))</f>
        <v>3.5259844449544962E-2</v>
      </c>
      <c r="I5" s="720">
        <f>INDEX(I6:I17,COUNT(I6:I17))</f>
        <v>0</v>
      </c>
      <c r="J5" s="720">
        <f>INDEX(J6:J17,COUNT(J6:J17))</f>
        <v>0</v>
      </c>
      <c r="K5" s="720">
        <f>INDEX(K6:K17,COUNT(K6:K17))</f>
        <v>67.45583313273508</v>
      </c>
    </row>
    <row r="6" spans="1:11" s="330" customFormat="1">
      <c r="A6" s="174">
        <v>45412</v>
      </c>
      <c r="B6" s="310">
        <v>70.756085780896157</v>
      </c>
      <c r="C6" s="310">
        <v>1.3804805299891896</v>
      </c>
      <c r="D6" s="310">
        <v>0</v>
      </c>
      <c r="E6" s="310">
        <v>0</v>
      </c>
      <c r="F6" s="310">
        <v>27.863433689114665</v>
      </c>
      <c r="G6" s="310">
        <v>33.470142878797262</v>
      </c>
      <c r="H6" s="310">
        <v>4.4074680334304752E-4</v>
      </c>
      <c r="I6" s="310">
        <v>0</v>
      </c>
      <c r="J6" s="310">
        <v>0</v>
      </c>
      <c r="K6" s="310">
        <v>66.529416374399403</v>
      </c>
    </row>
    <row r="7" spans="1:11" s="330" customFormat="1">
      <c r="A7" s="174">
        <v>45443</v>
      </c>
      <c r="B7" s="310">
        <v>70.010853452079729</v>
      </c>
      <c r="C7" s="310">
        <v>1.1681408247739702</v>
      </c>
      <c r="D7" s="310">
        <v>0</v>
      </c>
      <c r="E7" s="310">
        <v>0</v>
      </c>
      <c r="F7" s="310">
        <v>28.821005723146303</v>
      </c>
      <c r="G7" s="310">
        <v>38.257287909554464</v>
      </c>
      <c r="H7" s="310">
        <v>0</v>
      </c>
      <c r="I7" s="310">
        <v>0</v>
      </c>
      <c r="J7" s="310">
        <v>0</v>
      </c>
      <c r="K7" s="310">
        <v>61.742712090445529</v>
      </c>
    </row>
    <row r="8" spans="1:11" s="330" customFormat="1">
      <c r="A8" s="174">
        <v>45473</v>
      </c>
      <c r="B8" s="310">
        <v>71.207214481377918</v>
      </c>
      <c r="C8" s="310">
        <v>1.2263450572063219</v>
      </c>
      <c r="D8" s="310">
        <v>0</v>
      </c>
      <c r="E8" s="310">
        <v>0</v>
      </c>
      <c r="F8" s="310">
        <v>27.566440461415748</v>
      </c>
      <c r="G8" s="310">
        <v>29.797654062502943</v>
      </c>
      <c r="H8" s="310">
        <v>5.3192725534023828E-2</v>
      </c>
      <c r="I8" s="310">
        <v>0</v>
      </c>
      <c r="J8" s="310">
        <v>0</v>
      </c>
      <c r="K8" s="310">
        <v>70.149153211963039</v>
      </c>
    </row>
    <row r="9" spans="1:11" s="330" customFormat="1">
      <c r="A9" s="174">
        <v>45504</v>
      </c>
      <c r="B9" s="310">
        <v>72.424865564994718</v>
      </c>
      <c r="C9" s="310">
        <v>1.1803424338053543</v>
      </c>
      <c r="D9" s="310">
        <v>0</v>
      </c>
      <c r="E9" s="310">
        <v>0</v>
      </c>
      <c r="F9" s="310">
        <v>26.394792001199935</v>
      </c>
      <c r="G9" s="310">
        <v>33.457483855485556</v>
      </c>
      <c r="H9" s="310">
        <v>0</v>
      </c>
      <c r="I9" s="310">
        <v>0</v>
      </c>
      <c r="J9" s="310">
        <v>0</v>
      </c>
      <c r="K9" s="310">
        <v>66.542516144514423</v>
      </c>
    </row>
    <row r="10" spans="1:11" s="330" customFormat="1">
      <c r="A10" s="174">
        <v>45535</v>
      </c>
      <c r="B10" s="310">
        <v>70.176588774902797</v>
      </c>
      <c r="C10" s="310">
        <v>1.2217531136517303</v>
      </c>
      <c r="D10" s="310">
        <v>0</v>
      </c>
      <c r="E10" s="310">
        <v>0</v>
      </c>
      <c r="F10" s="310">
        <v>28.601658111445481</v>
      </c>
      <c r="G10" s="310">
        <v>32.508907022815393</v>
      </c>
      <c r="H10" s="310">
        <v>3.5259844449544962E-2</v>
      </c>
      <c r="I10" s="310">
        <v>0</v>
      </c>
      <c r="J10" s="310">
        <v>0</v>
      </c>
      <c r="K10" s="310">
        <v>67.45583313273508</v>
      </c>
    </row>
    <row r="11" spans="1:11" s="330" customFormat="1">
      <c r="A11" s="174">
        <v>45565</v>
      </c>
      <c r="B11" s="310"/>
      <c r="C11" s="310"/>
      <c r="D11" s="310"/>
      <c r="E11" s="310"/>
      <c r="F11" s="310"/>
      <c r="G11" s="310"/>
      <c r="H11" s="310"/>
      <c r="I11" s="310"/>
      <c r="J11" s="310"/>
      <c r="K11" s="310"/>
    </row>
    <row r="12" spans="1:11" s="330" customFormat="1">
      <c r="A12" s="174">
        <v>45596</v>
      </c>
      <c r="B12" s="310"/>
      <c r="C12" s="310"/>
      <c r="D12" s="310"/>
      <c r="E12" s="310"/>
      <c r="F12" s="310"/>
      <c r="G12" s="310"/>
      <c r="H12" s="310"/>
      <c r="I12" s="310"/>
      <c r="J12" s="310"/>
      <c r="K12" s="310"/>
    </row>
    <row r="13" spans="1:11" s="330" customFormat="1">
      <c r="A13" s="174">
        <v>45626</v>
      </c>
      <c r="B13" s="310"/>
      <c r="C13" s="310"/>
      <c r="D13" s="310"/>
      <c r="E13" s="310"/>
      <c r="F13" s="310"/>
      <c r="G13" s="310"/>
      <c r="H13" s="310"/>
      <c r="I13" s="310"/>
      <c r="J13" s="310"/>
      <c r="K13" s="310"/>
    </row>
    <row r="14" spans="1:11" s="330" customFormat="1">
      <c r="A14" s="174">
        <v>45657</v>
      </c>
      <c r="B14" s="310"/>
      <c r="C14" s="310"/>
      <c r="D14" s="310"/>
      <c r="E14" s="310"/>
      <c r="F14" s="310"/>
      <c r="G14" s="310"/>
      <c r="H14" s="310"/>
      <c r="I14" s="310"/>
      <c r="J14" s="310"/>
      <c r="K14" s="310"/>
    </row>
    <row r="15" spans="1:11" s="330" customFormat="1">
      <c r="A15" s="174">
        <v>45688</v>
      </c>
      <c r="B15" s="310"/>
      <c r="C15" s="310"/>
      <c r="D15" s="310"/>
      <c r="E15" s="310"/>
      <c r="F15" s="310"/>
      <c r="G15" s="310"/>
      <c r="H15" s="310"/>
      <c r="I15" s="310"/>
      <c r="J15" s="310"/>
      <c r="K15" s="310"/>
    </row>
    <row r="16" spans="1:11" s="330" customFormat="1">
      <c r="A16" s="174">
        <v>45716</v>
      </c>
      <c r="B16" s="310"/>
      <c r="C16" s="310"/>
      <c r="D16" s="310"/>
      <c r="E16" s="310"/>
      <c r="F16" s="310"/>
      <c r="G16" s="310"/>
      <c r="H16" s="310"/>
      <c r="I16" s="310"/>
      <c r="J16" s="310"/>
      <c r="K16" s="310"/>
    </row>
    <row r="17" spans="1:11" s="330" customFormat="1">
      <c r="A17" s="174">
        <v>45747</v>
      </c>
      <c r="B17" s="310"/>
      <c r="C17" s="310"/>
      <c r="D17" s="310"/>
      <c r="E17" s="310"/>
      <c r="F17" s="310"/>
      <c r="G17" s="310"/>
      <c r="H17" s="310"/>
      <c r="I17" s="310"/>
      <c r="J17" s="310"/>
      <c r="K17" s="310"/>
    </row>
    <row r="18" spans="1:11" s="330" customFormat="1">
      <c r="A18" s="743" t="str">
        <f>"$ indicates as on "&amp;TEXT(IF(COUNT(B6:B17)=1,A6,IF(COUNT(B6:B17)=2,A7,IF(COUNT(B6:B17)=3,A8,IF(COUNT(B6:B17)=4,A9,IF(COUNT(B6:B17)=5,A10,IF(COUNT(B6:B17)=6,A11,IF(COUNT(B6:B17)=7,A12,IF(COUNT(B6:B17)=8,A13,IF(COUNT(B6:B17)=9,A14,IF(COUNT(B6:B17)=10,A15,IF(COUNT(B6:B17)=11,A16,A17))))))))))),"mmmm dd, yyyy")</f>
        <v>$ indicates as on August 31, 2024</v>
      </c>
      <c r="B18" s="188"/>
      <c r="C18" s="188"/>
      <c r="D18" s="188"/>
      <c r="E18" s="188"/>
      <c r="F18" s="188"/>
      <c r="G18" s="188"/>
      <c r="H18" s="188"/>
      <c r="I18" s="188"/>
      <c r="J18" s="188"/>
      <c r="K18" s="188"/>
    </row>
    <row r="19" spans="1:11" s="330" customFormat="1">
      <c r="A19" s="1293" t="s">
        <v>305</v>
      </c>
      <c r="B19" s="1293"/>
      <c r="C19" s="1293"/>
      <c r="D19" s="1293"/>
      <c r="E19" s="1293"/>
      <c r="F19" s="1293"/>
      <c r="G19" s="1293"/>
      <c r="H19" s="1293"/>
      <c r="I19" s="1293"/>
      <c r="J19" s="1293"/>
      <c r="K19" s="1293"/>
    </row>
    <row r="20" spans="1:11" s="330" customFormat="1">
      <c r="A20" s="419"/>
    </row>
    <row r="21" spans="1:11" s="330" customFormat="1">
      <c r="A21" s="92"/>
      <c r="B21" s="92"/>
      <c r="C21" s="92"/>
      <c r="D21" s="92"/>
      <c r="E21" s="92"/>
      <c r="F21" s="92"/>
      <c r="G21" s="92"/>
      <c r="H21" s="92"/>
      <c r="I21" s="92"/>
      <c r="J21" s="92"/>
      <c r="K21" s="92"/>
    </row>
  </sheetData>
  <mergeCells count="4">
    <mergeCell ref="A2:A3"/>
    <mergeCell ref="B2:F2"/>
    <mergeCell ref="G2:K2"/>
    <mergeCell ref="A19:K19"/>
  </mergeCells>
  <printOptions horizontalCentered="1"/>
  <pageMargins left="0.78431372549019618" right="0.78431372549019618" top="0.98039215686274517" bottom="0.98039215686274517" header="0.50980392156862753" footer="0.50980392156862753"/>
  <pageSetup paperSize="9" scale="80" orientation="landscape" useFirstPageNumber="1" r:id="rId1"/>
  <headerFooter alignWithMargins="0"/>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21"/>
  <sheetViews>
    <sheetView workbookViewId="0"/>
  </sheetViews>
  <sheetFormatPr defaultColWidth="9.140625" defaultRowHeight="15"/>
  <cols>
    <col min="1" max="11" width="14.5703125" style="92" bestFit="1" customWidth="1"/>
    <col min="12" max="12" width="5" style="92" bestFit="1" customWidth="1"/>
    <col min="13" max="16384" width="9.140625" style="92"/>
  </cols>
  <sheetData>
    <row r="1" spans="1:11">
      <c r="A1" s="193" t="s">
        <v>34</v>
      </c>
      <c r="B1" s="193"/>
      <c r="C1" s="193"/>
      <c r="D1" s="193"/>
      <c r="E1" s="193"/>
      <c r="F1" s="193"/>
      <c r="G1" s="193"/>
      <c r="H1" s="193"/>
      <c r="I1" s="193"/>
      <c r="J1" s="193"/>
      <c r="K1" s="193"/>
    </row>
    <row r="2" spans="1:11" s="330" customFormat="1">
      <c r="A2" s="1415" t="s">
        <v>170</v>
      </c>
      <c r="B2" s="1416" t="s">
        <v>301</v>
      </c>
      <c r="C2" s="1417"/>
      <c r="D2" s="1417"/>
      <c r="E2" s="1417"/>
      <c r="F2" s="1418"/>
      <c r="G2" s="1416" t="s">
        <v>533</v>
      </c>
      <c r="H2" s="1417"/>
      <c r="I2" s="1417"/>
      <c r="J2" s="1417"/>
      <c r="K2" s="1418"/>
    </row>
    <row r="3" spans="1:11" s="330" customFormat="1">
      <c r="A3" s="1329"/>
      <c r="B3" s="508" t="s">
        <v>534</v>
      </c>
      <c r="C3" s="508" t="s">
        <v>303</v>
      </c>
      <c r="D3" s="508" t="s">
        <v>80</v>
      </c>
      <c r="E3" s="508" t="s">
        <v>304</v>
      </c>
      <c r="F3" s="508" t="s">
        <v>300</v>
      </c>
      <c r="G3" s="508" t="s">
        <v>534</v>
      </c>
      <c r="H3" s="508" t="s">
        <v>303</v>
      </c>
      <c r="I3" s="508" t="s">
        <v>80</v>
      </c>
      <c r="J3" s="508" t="s">
        <v>304</v>
      </c>
      <c r="K3" s="508" t="s">
        <v>300</v>
      </c>
    </row>
    <row r="4" spans="1:11" s="330" customFormat="1">
      <c r="A4" s="679" t="s">
        <v>518</v>
      </c>
      <c r="B4" s="497">
        <v>59.72</v>
      </c>
      <c r="C4" s="497">
        <v>6</v>
      </c>
      <c r="D4" s="497">
        <v>0.03</v>
      </c>
      <c r="E4" s="497">
        <v>0</v>
      </c>
      <c r="F4" s="497">
        <v>34.25</v>
      </c>
      <c r="G4" s="497">
        <v>22.74</v>
      </c>
      <c r="H4" s="497">
        <v>20.55</v>
      </c>
      <c r="I4" s="497">
        <v>8.4</v>
      </c>
      <c r="J4" s="497">
        <v>0</v>
      </c>
      <c r="K4" s="497">
        <v>48.31</v>
      </c>
    </row>
    <row r="5" spans="1:11" s="330" customFormat="1">
      <c r="A5" s="682" t="s">
        <v>743</v>
      </c>
      <c r="B5" s="721">
        <v>58.88</v>
      </c>
      <c r="C5" s="721">
        <v>7.07</v>
      </c>
      <c r="D5" s="721">
        <v>0.04</v>
      </c>
      <c r="E5" s="721">
        <v>0</v>
      </c>
      <c r="F5" s="721">
        <v>34.01</v>
      </c>
      <c r="G5" s="695">
        <f>INDEX(G6:G17,COUNT(G6:G17))</f>
        <v>19.670000000000002</v>
      </c>
      <c r="H5" s="695">
        <f>INDEX(H6:H17,COUNT(H6:H17))</f>
        <v>19</v>
      </c>
      <c r="I5" s="695">
        <f>INDEX(I6:I17,COUNT(I6:I17))</f>
        <v>6.92</v>
      </c>
      <c r="J5" s="695">
        <f>INDEX(J6:J17,COUNT(J6:J17))</f>
        <v>0</v>
      </c>
      <c r="K5" s="695">
        <f>INDEX(K6:K17,COUNT(K6:K17))</f>
        <v>54.4</v>
      </c>
    </row>
    <row r="6" spans="1:11" s="330" customFormat="1">
      <c r="A6" s="174">
        <v>45412</v>
      </c>
      <c r="B6" s="310">
        <v>58.53</v>
      </c>
      <c r="C6" s="310">
        <v>7.66</v>
      </c>
      <c r="D6" s="310">
        <v>0.04</v>
      </c>
      <c r="E6" s="310">
        <v>0</v>
      </c>
      <c r="F6" s="310">
        <v>33.76</v>
      </c>
      <c r="G6" s="310">
        <v>20.49</v>
      </c>
      <c r="H6" s="310">
        <v>18.71</v>
      </c>
      <c r="I6" s="310">
        <v>6.83</v>
      </c>
      <c r="J6" s="310">
        <v>0</v>
      </c>
      <c r="K6" s="310">
        <v>53.97</v>
      </c>
    </row>
    <row r="7" spans="1:11" s="330" customFormat="1">
      <c r="A7" s="174">
        <v>45443</v>
      </c>
      <c r="B7" s="310">
        <v>59.47</v>
      </c>
      <c r="C7" s="310">
        <v>6.96</v>
      </c>
      <c r="D7" s="310">
        <v>0.04</v>
      </c>
      <c r="E7" s="310">
        <v>0</v>
      </c>
      <c r="F7" s="310">
        <v>33.520000000000003</v>
      </c>
      <c r="G7" s="310">
        <v>20.46</v>
      </c>
      <c r="H7" s="310">
        <v>23.88</v>
      </c>
      <c r="I7" s="310">
        <v>8.77</v>
      </c>
      <c r="J7" s="310">
        <v>0</v>
      </c>
      <c r="K7" s="310">
        <v>46.89</v>
      </c>
    </row>
    <row r="8" spans="1:11" s="330" customFormat="1">
      <c r="A8" s="174">
        <v>45473</v>
      </c>
      <c r="B8" s="310">
        <v>58.62</v>
      </c>
      <c r="C8" s="310">
        <v>6.6</v>
      </c>
      <c r="D8" s="310">
        <v>0.05</v>
      </c>
      <c r="E8" s="310">
        <v>0</v>
      </c>
      <c r="F8" s="310">
        <v>34.729999999999997</v>
      </c>
      <c r="G8" s="310">
        <v>19.309999999999999</v>
      </c>
      <c r="H8" s="310">
        <v>17.84</v>
      </c>
      <c r="I8" s="310">
        <v>6.46</v>
      </c>
      <c r="J8" s="310">
        <v>0</v>
      </c>
      <c r="K8" s="310">
        <v>56.39</v>
      </c>
    </row>
    <row r="9" spans="1:11" s="330" customFormat="1">
      <c r="A9" s="174">
        <v>45504</v>
      </c>
      <c r="B9" s="310">
        <v>59.88</v>
      </c>
      <c r="C9" s="310">
        <v>6.53</v>
      </c>
      <c r="D9" s="310">
        <v>0.04</v>
      </c>
      <c r="E9" s="310">
        <v>0</v>
      </c>
      <c r="F9" s="310">
        <v>33.549999999999997</v>
      </c>
      <c r="G9" s="310">
        <v>18.62</v>
      </c>
      <c r="H9" s="310">
        <v>18.77</v>
      </c>
      <c r="I9" s="310">
        <v>6.79</v>
      </c>
      <c r="J9" s="310">
        <v>0</v>
      </c>
      <c r="K9" s="310">
        <v>55.81</v>
      </c>
    </row>
    <row r="10" spans="1:11" s="330" customFormat="1">
      <c r="A10" s="174">
        <v>45535</v>
      </c>
      <c r="B10" s="310">
        <v>61.07</v>
      </c>
      <c r="C10" s="310">
        <v>6.97</v>
      </c>
      <c r="D10" s="310">
        <v>0.05</v>
      </c>
      <c r="E10" s="310">
        <v>0</v>
      </c>
      <c r="F10" s="310">
        <v>31.92</v>
      </c>
      <c r="G10" s="310">
        <v>19.670000000000002</v>
      </c>
      <c r="H10" s="310">
        <v>19</v>
      </c>
      <c r="I10" s="310">
        <v>6.92</v>
      </c>
      <c r="J10" s="310">
        <v>0</v>
      </c>
      <c r="K10" s="310">
        <v>54.4</v>
      </c>
    </row>
    <row r="11" spans="1:11" s="330" customFormat="1">
      <c r="A11" s="174">
        <v>45565</v>
      </c>
      <c r="B11" s="310"/>
      <c r="C11" s="310"/>
      <c r="D11" s="310"/>
      <c r="E11" s="310"/>
      <c r="F11" s="310"/>
      <c r="G11" s="310"/>
      <c r="H11" s="310"/>
      <c r="I11" s="310"/>
      <c r="J11" s="310"/>
      <c r="K11" s="310"/>
    </row>
    <row r="12" spans="1:11" s="330" customFormat="1">
      <c r="A12" s="174">
        <v>45596</v>
      </c>
      <c r="B12" s="310"/>
      <c r="C12" s="310"/>
      <c r="D12" s="310"/>
      <c r="E12" s="310"/>
      <c r="F12" s="310"/>
      <c r="G12" s="310"/>
      <c r="H12" s="310"/>
      <c r="I12" s="310"/>
      <c r="J12" s="310"/>
      <c r="K12" s="310"/>
    </row>
    <row r="13" spans="1:11" s="330" customFormat="1">
      <c r="A13" s="174">
        <v>45626</v>
      </c>
      <c r="B13" s="310"/>
      <c r="C13" s="310"/>
      <c r="D13" s="310"/>
      <c r="E13" s="310"/>
      <c r="F13" s="310"/>
      <c r="G13" s="310"/>
      <c r="H13" s="310"/>
      <c r="I13" s="310"/>
      <c r="J13" s="310"/>
      <c r="K13" s="310"/>
    </row>
    <row r="14" spans="1:11" s="330" customFormat="1">
      <c r="A14" s="174">
        <v>45657</v>
      </c>
      <c r="B14" s="310"/>
      <c r="C14" s="310"/>
      <c r="D14" s="310"/>
      <c r="E14" s="310"/>
      <c r="F14" s="310"/>
      <c r="G14" s="310"/>
      <c r="H14" s="310"/>
      <c r="I14" s="310"/>
      <c r="J14" s="310"/>
      <c r="K14" s="310"/>
    </row>
    <row r="15" spans="1:11" s="330" customFormat="1">
      <c r="A15" s="174">
        <v>45688</v>
      </c>
      <c r="B15" s="310"/>
      <c r="C15" s="310"/>
      <c r="D15" s="310"/>
      <c r="E15" s="310"/>
      <c r="F15" s="310"/>
      <c r="G15" s="310"/>
      <c r="H15" s="310"/>
      <c r="I15" s="310"/>
      <c r="J15" s="310"/>
      <c r="K15" s="310"/>
    </row>
    <row r="16" spans="1:11" s="330" customFormat="1">
      <c r="A16" s="174">
        <v>45716</v>
      </c>
      <c r="B16" s="310"/>
      <c r="C16" s="310"/>
      <c r="D16" s="310"/>
      <c r="E16" s="310"/>
      <c r="F16" s="310"/>
      <c r="G16" s="310"/>
      <c r="H16" s="310"/>
      <c r="I16" s="310"/>
      <c r="J16" s="310"/>
      <c r="K16" s="310"/>
    </row>
    <row r="17" spans="1:11" s="330" customFormat="1">
      <c r="A17" s="174">
        <v>45747</v>
      </c>
      <c r="B17" s="343"/>
      <c r="C17" s="343"/>
      <c r="D17" s="343"/>
      <c r="E17" s="343"/>
      <c r="F17" s="343"/>
      <c r="G17" s="343"/>
      <c r="H17" s="232"/>
      <c r="I17" s="232"/>
      <c r="J17" s="345"/>
      <c r="K17" s="345"/>
    </row>
    <row r="18" spans="1:11" s="330" customFormat="1">
      <c r="A18" s="743" t="str">
        <f>"$ indicates as on "&amp;TEXT(IF(COUNT(B6:B17)=1,A6,IF(COUNT(B6:B17)=2,A7,IF(COUNT(B6:B17)=3,A8,IF(COUNT(B6:B17)=4,A9,IF(COUNT(B6:B17)=5,A10,IF(COUNT(B6:B17)=6,A11,IF(COUNT(B6:B17)=7,A12,IF(COUNT(B6:B17)=8,A13,IF(COUNT(B6:B17)=9,A14,IF(COUNT(B6:B17)=10,A15,IF(COUNT(B6:B17)=11,A16,A17))))))))))),"mmmm dd, yyyy")</f>
        <v>$ indicates as on August 31, 2024</v>
      </c>
      <c r="B18" s="360"/>
      <c r="C18" s="360"/>
      <c r="D18" s="360"/>
      <c r="E18" s="360"/>
      <c r="F18" s="360"/>
      <c r="G18" s="360"/>
      <c r="H18" s="360"/>
      <c r="I18" s="360"/>
      <c r="J18" s="360"/>
      <c r="K18" s="360"/>
    </row>
    <row r="19" spans="1:11" s="330" customFormat="1" ht="15" customHeight="1">
      <c r="A19" s="1322" t="s">
        <v>307</v>
      </c>
      <c r="B19" s="1322"/>
      <c r="C19" s="1322"/>
      <c r="D19" s="1322"/>
      <c r="E19" s="1322"/>
      <c r="F19" s="1322"/>
      <c r="G19" s="1322"/>
      <c r="H19" s="1322"/>
      <c r="I19" s="1322"/>
      <c r="J19" s="1322"/>
      <c r="K19" s="1322"/>
    </row>
    <row r="20" spans="1:11" s="330" customFormat="1">
      <c r="A20" s="419"/>
    </row>
    <row r="21" spans="1:11" s="330" customFormat="1">
      <c r="A21" s="92"/>
      <c r="B21" s="92"/>
      <c r="C21" s="92"/>
      <c r="D21" s="92"/>
      <c r="E21" s="92"/>
      <c r="F21" s="92"/>
      <c r="G21" s="92"/>
      <c r="H21" s="92"/>
      <c r="I21" s="92"/>
      <c r="J21" s="92"/>
      <c r="K21" s="92"/>
    </row>
  </sheetData>
  <mergeCells count="4">
    <mergeCell ref="A2:A3"/>
    <mergeCell ref="B2:F2"/>
    <mergeCell ref="G2:K2"/>
    <mergeCell ref="A19:K19"/>
  </mergeCells>
  <printOptions horizontalCentered="1"/>
  <pageMargins left="0.78431372549019618" right="0.78431372549019618" top="0.98039215686274517" bottom="0.98039215686274517" header="0.50980392156862753" footer="0.50980392156862753"/>
  <pageSetup paperSize="9" scale="80" orientation="landscape" useFirstPageNumber="1" r:id="rId1"/>
  <headerFooter alignWithMargins="0"/>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21"/>
  <sheetViews>
    <sheetView workbookViewId="0"/>
  </sheetViews>
  <sheetFormatPr defaultColWidth="9.140625" defaultRowHeight="15"/>
  <cols>
    <col min="1" max="2" width="14.5703125" style="92" bestFit="1" customWidth="1"/>
    <col min="3" max="3" width="13.5703125" style="92" customWidth="1"/>
    <col min="4" max="4" width="13.85546875" style="92" customWidth="1"/>
    <col min="5" max="7" width="14.5703125" style="92" bestFit="1" customWidth="1"/>
    <col min="8" max="8" width="15" style="92" bestFit="1" customWidth="1"/>
    <col min="9" max="9" width="14.42578125" style="92" bestFit="1" customWidth="1"/>
    <col min="10" max="11" width="14.5703125" style="92" bestFit="1" customWidth="1"/>
    <col min="12" max="12" width="4.5703125" style="92" bestFit="1" customWidth="1"/>
    <col min="13" max="16384" width="9.140625" style="92"/>
  </cols>
  <sheetData>
    <row r="1" spans="1:11">
      <c r="A1" s="193" t="s">
        <v>35</v>
      </c>
      <c r="B1" s="193"/>
      <c r="C1" s="193"/>
      <c r="D1" s="193"/>
      <c r="E1" s="193"/>
      <c r="F1" s="193"/>
      <c r="G1" s="193"/>
      <c r="H1" s="193"/>
    </row>
    <row r="2" spans="1:11" s="330" customFormat="1" ht="18" customHeight="1">
      <c r="A2" s="1416" t="s">
        <v>535</v>
      </c>
      <c r="B2" s="1417"/>
      <c r="C2" s="1417"/>
      <c r="D2" s="1417"/>
      <c r="E2" s="1417"/>
      <c r="F2" s="1417"/>
      <c r="G2" s="1417"/>
      <c r="H2" s="1417"/>
      <c r="I2" s="1417"/>
      <c r="J2" s="1417"/>
      <c r="K2" s="1418"/>
    </row>
    <row r="3" spans="1:11" s="330" customFormat="1" ht="27.75" customHeight="1">
      <c r="A3" s="509" t="s">
        <v>170</v>
      </c>
      <c r="B3" s="492" t="s">
        <v>536</v>
      </c>
      <c r="C3" s="492" t="s">
        <v>537</v>
      </c>
      <c r="D3" s="492" t="s">
        <v>538</v>
      </c>
      <c r="E3" s="492" t="s">
        <v>539</v>
      </c>
      <c r="F3" s="492" t="s">
        <v>540</v>
      </c>
      <c r="G3" s="492" t="s">
        <v>463</v>
      </c>
      <c r="H3" s="527" t="s">
        <v>541</v>
      </c>
      <c r="I3" s="527" t="s">
        <v>542</v>
      </c>
      <c r="J3" s="527" t="s">
        <v>543</v>
      </c>
      <c r="K3" s="527" t="s">
        <v>544</v>
      </c>
    </row>
    <row r="4" spans="1:11" s="97" customFormat="1" ht="18" customHeight="1">
      <c r="A4" s="679" t="s">
        <v>518</v>
      </c>
      <c r="B4" s="510">
        <v>100</v>
      </c>
      <c r="C4" s="510">
        <v>1.2745228704333337E-4</v>
      </c>
      <c r="D4" s="497">
        <v>6.3109314694256465E-3</v>
      </c>
      <c r="E4" s="497">
        <v>0</v>
      </c>
      <c r="F4" s="497">
        <v>0</v>
      </c>
      <c r="G4" s="497">
        <v>0</v>
      </c>
      <c r="H4" s="510">
        <v>0</v>
      </c>
      <c r="I4" s="510">
        <v>0</v>
      </c>
      <c r="J4" s="510">
        <v>0</v>
      </c>
      <c r="K4" s="510">
        <v>0</v>
      </c>
    </row>
    <row r="5" spans="1:11" s="97" customFormat="1" ht="18" customHeight="1">
      <c r="A5" s="682" t="s">
        <v>743</v>
      </c>
      <c r="B5" s="721">
        <v>73.86</v>
      </c>
      <c r="C5" s="721">
        <v>0</v>
      </c>
      <c r="D5" s="721">
        <v>26.14</v>
      </c>
      <c r="E5" s="721">
        <v>0</v>
      </c>
      <c r="F5" s="721">
        <v>0</v>
      </c>
      <c r="G5" s="721">
        <v>0</v>
      </c>
      <c r="H5" s="722">
        <v>0</v>
      </c>
      <c r="I5" s="722">
        <v>0</v>
      </c>
      <c r="J5" s="722">
        <v>0</v>
      </c>
      <c r="K5" s="722">
        <v>0</v>
      </c>
    </row>
    <row r="6" spans="1:11" s="330" customFormat="1" ht="18" customHeight="1">
      <c r="A6" s="174">
        <v>45412</v>
      </c>
      <c r="B6" s="309">
        <v>69.02</v>
      </c>
      <c r="C6" s="309">
        <v>0</v>
      </c>
      <c r="D6" s="310">
        <v>30.98</v>
      </c>
      <c r="E6" s="310">
        <v>0</v>
      </c>
      <c r="F6" s="310">
        <v>0</v>
      </c>
      <c r="G6" s="310">
        <v>0</v>
      </c>
      <c r="H6" s="309">
        <v>0</v>
      </c>
      <c r="I6" s="309">
        <v>0</v>
      </c>
      <c r="J6" s="309">
        <v>0</v>
      </c>
      <c r="K6" s="309">
        <v>0</v>
      </c>
    </row>
    <row r="7" spans="1:11" s="330" customFormat="1" ht="18" customHeight="1">
      <c r="A7" s="174">
        <v>45443</v>
      </c>
      <c r="B7" s="309">
        <v>77.45</v>
      </c>
      <c r="C7" s="309">
        <v>0</v>
      </c>
      <c r="D7" s="310">
        <v>22.55</v>
      </c>
      <c r="E7" s="310">
        <v>0</v>
      </c>
      <c r="F7" s="310">
        <v>0</v>
      </c>
      <c r="G7" s="310">
        <v>0</v>
      </c>
      <c r="H7" s="309">
        <v>0</v>
      </c>
      <c r="I7" s="309">
        <v>0</v>
      </c>
      <c r="J7" s="309">
        <v>0</v>
      </c>
      <c r="K7" s="309">
        <v>0</v>
      </c>
    </row>
    <row r="8" spans="1:11" s="330" customFormat="1" ht="18" customHeight="1">
      <c r="A8" s="174">
        <v>45473</v>
      </c>
      <c r="B8" s="309">
        <v>74.03</v>
      </c>
      <c r="C8" s="309">
        <v>0</v>
      </c>
      <c r="D8" s="310">
        <v>25.97</v>
      </c>
      <c r="E8" s="310">
        <v>0</v>
      </c>
      <c r="F8" s="310">
        <v>0</v>
      </c>
      <c r="G8" s="310">
        <v>0</v>
      </c>
      <c r="H8" s="309">
        <v>0</v>
      </c>
      <c r="I8" s="309">
        <v>0</v>
      </c>
      <c r="J8" s="309">
        <v>0</v>
      </c>
      <c r="K8" s="309">
        <v>0</v>
      </c>
    </row>
    <row r="9" spans="1:11" s="330" customFormat="1" ht="18" customHeight="1">
      <c r="A9" s="174">
        <v>45504</v>
      </c>
      <c r="B9" s="309">
        <v>67.165949969983359</v>
      </c>
      <c r="C9" s="309">
        <v>0</v>
      </c>
      <c r="D9" s="309">
        <v>32.834050030016641</v>
      </c>
      <c r="E9" s="309">
        <v>0</v>
      </c>
      <c r="F9" s="309">
        <v>0</v>
      </c>
      <c r="G9" s="309">
        <v>0</v>
      </c>
      <c r="H9" s="309">
        <v>0</v>
      </c>
      <c r="I9" s="309">
        <v>0</v>
      </c>
      <c r="J9" s="309">
        <v>0</v>
      </c>
      <c r="K9" s="309">
        <v>0</v>
      </c>
    </row>
    <row r="10" spans="1:11" s="330" customFormat="1" ht="18" customHeight="1">
      <c r="A10" s="174">
        <v>45535</v>
      </c>
      <c r="B10" s="309">
        <v>76.464981861323139</v>
      </c>
      <c r="C10" s="309">
        <v>0</v>
      </c>
      <c r="D10" s="309">
        <v>23.535018138676865</v>
      </c>
      <c r="E10" s="309">
        <v>0</v>
      </c>
      <c r="F10" s="309">
        <v>0</v>
      </c>
      <c r="G10" s="309">
        <v>0</v>
      </c>
      <c r="H10" s="309">
        <v>0</v>
      </c>
      <c r="I10" s="309">
        <v>0</v>
      </c>
      <c r="J10" s="309">
        <v>0</v>
      </c>
      <c r="K10" s="309">
        <v>0</v>
      </c>
    </row>
    <row r="11" spans="1:11" s="330" customFormat="1" ht="14.25" customHeight="1">
      <c r="A11" s="174">
        <v>45565</v>
      </c>
      <c r="B11" s="309"/>
      <c r="C11" s="309"/>
      <c r="D11" s="310"/>
      <c r="E11" s="310"/>
      <c r="F11" s="310"/>
      <c r="G11" s="310"/>
      <c r="H11" s="310"/>
      <c r="I11" s="310"/>
      <c r="J11" s="310"/>
      <c r="K11" s="310"/>
    </row>
    <row r="12" spans="1:11" s="330" customFormat="1" ht="13.5" customHeight="1">
      <c r="A12" s="174">
        <v>45596</v>
      </c>
      <c r="B12" s="309"/>
      <c r="C12" s="309"/>
      <c r="D12" s="310"/>
      <c r="E12" s="310"/>
      <c r="F12" s="310"/>
      <c r="G12" s="310"/>
      <c r="H12" s="310"/>
      <c r="I12" s="310"/>
      <c r="J12" s="310"/>
      <c r="K12" s="310"/>
    </row>
    <row r="13" spans="1:11" s="330" customFormat="1">
      <c r="A13" s="174">
        <v>45626</v>
      </c>
      <c r="B13" s="309"/>
      <c r="C13" s="309"/>
      <c r="D13" s="310"/>
      <c r="E13" s="310"/>
      <c r="F13" s="310"/>
      <c r="G13" s="310"/>
      <c r="H13" s="310"/>
      <c r="I13" s="310"/>
      <c r="J13" s="310"/>
      <c r="K13" s="310"/>
    </row>
    <row r="14" spans="1:11" s="330" customFormat="1">
      <c r="A14" s="174">
        <v>45657</v>
      </c>
      <c r="B14" s="309"/>
      <c r="C14" s="309"/>
      <c r="D14" s="310"/>
      <c r="E14" s="310"/>
      <c r="F14" s="310"/>
      <c r="G14" s="310"/>
      <c r="H14" s="310"/>
      <c r="I14" s="310"/>
      <c r="J14" s="310"/>
      <c r="K14" s="310"/>
    </row>
    <row r="15" spans="1:11" s="330" customFormat="1">
      <c r="A15" s="174">
        <v>45688</v>
      </c>
      <c r="B15" s="309"/>
      <c r="C15" s="309"/>
      <c r="D15" s="310"/>
      <c r="E15" s="310"/>
      <c r="F15" s="310"/>
      <c r="G15" s="310"/>
      <c r="H15" s="310"/>
      <c r="I15" s="310"/>
      <c r="J15" s="310"/>
      <c r="K15" s="310"/>
    </row>
    <row r="16" spans="1:11" s="330" customFormat="1">
      <c r="A16" s="174">
        <v>45716</v>
      </c>
      <c r="B16" s="309"/>
      <c r="C16" s="309"/>
      <c r="D16" s="310"/>
      <c r="E16" s="310"/>
      <c r="F16" s="310"/>
      <c r="G16" s="310"/>
      <c r="H16" s="310"/>
      <c r="I16" s="310"/>
      <c r="J16" s="310"/>
      <c r="K16" s="310"/>
    </row>
    <row r="17" spans="1:11" s="330" customFormat="1">
      <c r="A17" s="174">
        <v>45747</v>
      </c>
      <c r="B17" s="309"/>
      <c r="C17" s="309"/>
      <c r="D17" s="310"/>
      <c r="E17" s="310"/>
      <c r="F17" s="310"/>
      <c r="G17" s="310"/>
      <c r="H17" s="310"/>
      <c r="I17" s="310"/>
      <c r="J17" s="310"/>
      <c r="K17" s="310"/>
    </row>
    <row r="18" spans="1:11" s="330" customFormat="1">
      <c r="A18" s="743" t="str">
        <f>"$ indicates as on "&amp;TEXT(IF(COUNT(B6:B17)=1,A6,IF(COUNT(B6:B17)=2,A7,IF(COUNT(B6:B17)=3,A8,IF(COUNT(B6:B17)=4,A9,IF(COUNT(B6:B17)=5,A10,IF(COUNT(B6:B17)=6,A11,IF(COUNT(B6:B17)=7,A12,IF(COUNT(B6:B17)=8,A13,IF(COUNT(B6:B17)=9,A14,IF(COUNT(B6:B17)=10,A15,IF(COUNT(B6:B17)=11,A16,A17))))))))))),"mmmm dd, yyyy")</f>
        <v>$ indicates as on August 31, 2024</v>
      </c>
      <c r="B18" s="360"/>
      <c r="C18" s="360"/>
      <c r="D18" s="360"/>
      <c r="E18" s="360"/>
      <c r="F18" s="360"/>
      <c r="G18" s="360"/>
      <c r="H18" s="360"/>
      <c r="I18" s="360"/>
      <c r="J18" s="360"/>
      <c r="K18" s="360"/>
    </row>
    <row r="19" spans="1:11" s="330" customFormat="1">
      <c r="A19" s="1293" t="s">
        <v>305</v>
      </c>
      <c r="B19" s="1293"/>
      <c r="C19" s="1293"/>
      <c r="D19" s="1293"/>
      <c r="E19" s="1293"/>
      <c r="F19" s="1293"/>
    </row>
    <row r="20" spans="1:11" s="330" customFormat="1">
      <c r="A20" s="419"/>
    </row>
    <row r="21" spans="1:11" s="330" customFormat="1">
      <c r="A21" s="92"/>
      <c r="B21" s="92"/>
      <c r="C21" s="92"/>
      <c r="D21" s="92"/>
      <c r="E21" s="92"/>
      <c r="F21" s="92"/>
    </row>
  </sheetData>
  <mergeCells count="2">
    <mergeCell ref="A2:K2"/>
    <mergeCell ref="A19:F19"/>
  </mergeCells>
  <printOptions horizontalCentered="1"/>
  <pageMargins left="0.78431372549019618" right="0.78431372549019618" top="0.98039215686274517" bottom="0.98039215686274517" header="0.50980392156862753" footer="0.50980392156862753"/>
  <pageSetup paperSize="9" scale="81" orientation="landscape" useFirstPageNumber="1" r:id="rId1"/>
  <headerFooter alignWithMargins="0"/>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25"/>
  <sheetViews>
    <sheetView workbookViewId="0"/>
  </sheetViews>
  <sheetFormatPr defaultColWidth="9.140625" defaultRowHeight="15"/>
  <cols>
    <col min="1" max="5" width="14.5703125" style="92" bestFit="1" customWidth="1"/>
    <col min="6" max="6" width="7.85546875" style="92" customWidth="1"/>
    <col min="7" max="16384" width="9.140625" style="92"/>
  </cols>
  <sheetData>
    <row r="1" spans="1:11">
      <c r="A1" s="193" t="s">
        <v>36</v>
      </c>
      <c r="B1" s="193"/>
      <c r="C1" s="193"/>
      <c r="D1" s="193"/>
      <c r="E1" s="193"/>
    </row>
    <row r="2" spans="1:11" s="330" customFormat="1">
      <c r="A2" s="1300" t="s">
        <v>170</v>
      </c>
      <c r="B2" s="1419" t="s">
        <v>535</v>
      </c>
      <c r="C2" s="1419"/>
      <c r="D2" s="1419"/>
      <c r="E2" s="1420"/>
    </row>
    <row r="3" spans="1:11" s="330" customFormat="1">
      <c r="A3" s="1300"/>
      <c r="B3" s="564" t="s">
        <v>545</v>
      </c>
      <c r="C3" s="567" t="s">
        <v>546</v>
      </c>
      <c r="D3" s="567" t="s">
        <v>547</v>
      </c>
      <c r="E3" s="567" t="s">
        <v>548</v>
      </c>
    </row>
    <row r="4" spans="1:11" s="97" customFormat="1">
      <c r="A4" s="679" t="s">
        <v>518</v>
      </c>
      <c r="B4" s="497">
        <v>33.43</v>
      </c>
      <c r="C4" s="497">
        <v>45.18</v>
      </c>
      <c r="D4" s="497">
        <v>17.600000000000001</v>
      </c>
      <c r="E4" s="497">
        <v>3.79</v>
      </c>
    </row>
    <row r="5" spans="1:11" s="97" customFormat="1">
      <c r="A5" s="682" t="s">
        <v>743</v>
      </c>
      <c r="B5" s="511">
        <v>34.630000000000003</v>
      </c>
      <c r="C5" s="511">
        <v>41.43</v>
      </c>
      <c r="D5" s="511">
        <v>16.5</v>
      </c>
      <c r="E5" s="511">
        <v>7.41</v>
      </c>
    </row>
    <row r="6" spans="1:11" s="330" customFormat="1">
      <c r="A6" s="174">
        <v>45412</v>
      </c>
      <c r="B6" s="310">
        <v>36.08</v>
      </c>
      <c r="C6" s="310">
        <v>41.13</v>
      </c>
      <c r="D6" s="310">
        <v>16.36</v>
      </c>
      <c r="E6" s="310">
        <v>6.44</v>
      </c>
    </row>
    <row r="7" spans="1:11" s="330" customFormat="1">
      <c r="A7" s="174">
        <v>45443</v>
      </c>
      <c r="B7" s="310">
        <v>39.17</v>
      </c>
      <c r="C7" s="310">
        <v>39.200000000000003</v>
      </c>
      <c r="D7" s="310">
        <v>15.19</v>
      </c>
      <c r="E7" s="310">
        <v>6.42</v>
      </c>
    </row>
    <row r="8" spans="1:11" s="330" customFormat="1">
      <c r="A8" s="174">
        <v>45473</v>
      </c>
      <c r="B8" s="310">
        <v>33.26</v>
      </c>
      <c r="C8" s="310">
        <v>44.25</v>
      </c>
      <c r="D8" s="310">
        <v>15.7</v>
      </c>
      <c r="E8" s="310">
        <v>6.77</v>
      </c>
    </row>
    <row r="9" spans="1:11" s="330" customFormat="1">
      <c r="A9" s="174">
        <v>45504</v>
      </c>
      <c r="B9" s="310">
        <v>30.18</v>
      </c>
      <c r="C9" s="310">
        <v>43.21</v>
      </c>
      <c r="D9" s="310">
        <v>17.61</v>
      </c>
      <c r="E9" s="310">
        <v>8.98</v>
      </c>
    </row>
    <row r="10" spans="1:11" s="330" customFormat="1">
      <c r="A10" s="174">
        <v>45535</v>
      </c>
      <c r="B10" s="310">
        <v>35.119999999999997</v>
      </c>
      <c r="C10" s="310">
        <v>39.25</v>
      </c>
      <c r="D10" s="310">
        <v>17.420000000000002</v>
      </c>
      <c r="E10" s="310">
        <v>8.17</v>
      </c>
    </row>
    <row r="11" spans="1:11" s="330" customFormat="1">
      <c r="A11" s="174">
        <v>45565</v>
      </c>
      <c r="B11" s="310"/>
      <c r="C11" s="310"/>
      <c r="D11" s="310"/>
      <c r="E11" s="310"/>
    </row>
    <row r="12" spans="1:11" s="330" customFormat="1">
      <c r="A12" s="174">
        <v>45596</v>
      </c>
      <c r="B12" s="310"/>
      <c r="C12" s="310"/>
      <c r="D12" s="310"/>
      <c r="E12" s="310"/>
      <c r="H12" s="417"/>
      <c r="I12" s="417"/>
      <c r="J12" s="417"/>
      <c r="K12" s="417"/>
    </row>
    <row r="13" spans="1:11" s="330" customFormat="1">
      <c r="A13" s="174">
        <v>45626</v>
      </c>
      <c r="B13" s="310"/>
      <c r="C13" s="310"/>
      <c r="D13" s="310"/>
      <c r="E13" s="310"/>
      <c r="F13" s="129"/>
      <c r="G13" s="129"/>
      <c r="H13" s="418"/>
      <c r="I13" s="418"/>
      <c r="J13" s="417"/>
      <c r="K13" s="417"/>
    </row>
    <row r="14" spans="1:11" s="330" customFormat="1">
      <c r="A14" s="174">
        <v>45657</v>
      </c>
      <c r="B14" s="310"/>
      <c r="C14" s="310"/>
      <c r="D14" s="310"/>
      <c r="E14" s="310"/>
      <c r="F14" s="129"/>
      <c r="G14" s="129"/>
      <c r="H14" s="418"/>
      <c r="I14" s="418"/>
      <c r="J14" s="417"/>
      <c r="K14" s="417"/>
    </row>
    <row r="15" spans="1:11" s="330" customFormat="1">
      <c r="A15" s="174">
        <v>45688</v>
      </c>
      <c r="B15" s="310"/>
      <c r="C15" s="310"/>
      <c r="D15" s="310"/>
      <c r="E15" s="310"/>
      <c r="F15" s="129"/>
      <c r="G15" s="129"/>
      <c r="H15" s="418"/>
      <c r="I15" s="418"/>
      <c r="J15" s="417"/>
      <c r="K15" s="417"/>
    </row>
    <row r="16" spans="1:11" s="330" customFormat="1">
      <c r="A16" s="174">
        <v>45716</v>
      </c>
      <c r="B16" s="310"/>
      <c r="C16" s="310"/>
      <c r="D16" s="310"/>
      <c r="E16" s="310"/>
      <c r="F16" s="129"/>
      <c r="G16" s="129"/>
      <c r="H16" s="418"/>
      <c r="I16" s="418"/>
      <c r="J16" s="417"/>
      <c r="K16" s="417"/>
    </row>
    <row r="17" spans="1:11" s="330" customFormat="1">
      <c r="A17" s="174">
        <v>45747</v>
      </c>
      <c r="B17" s="310"/>
      <c r="C17" s="310"/>
      <c r="D17" s="310"/>
      <c r="E17" s="310"/>
      <c r="F17" s="129"/>
      <c r="G17" s="129"/>
      <c r="H17" s="418"/>
      <c r="I17" s="418"/>
      <c r="J17" s="417"/>
      <c r="K17" s="417"/>
    </row>
    <row r="18" spans="1:11" s="330" customFormat="1">
      <c r="A18" s="743" t="str">
        <f>"$ indicates as on "&amp;TEXT(IF(COUNT(B6:B17)=1,A6,IF(COUNT(B6:B17)=2,A7,IF(COUNT(B6:B17)=3,A8,IF(COUNT(B6:B17)=4,A9,IF(COUNT(B6:B17)=5,A10,IF(COUNT(B6:B17)=6,A11,IF(COUNT(B6:B17)=7,A12,IF(COUNT(B6:B17)=8,A13,IF(COUNT(B6:B17)=9,A14,IF(COUNT(B6:B17)=10,A15,IF(COUNT(B6:B17)=11,A16,A17))))))))))),"mmmm dd, yyyy")</f>
        <v>$ indicates as on August 31, 2024</v>
      </c>
      <c r="B18" s="360"/>
      <c r="C18" s="360"/>
      <c r="D18" s="360"/>
      <c r="E18" s="360"/>
      <c r="H18" s="417"/>
      <c r="I18" s="417"/>
      <c r="J18" s="417"/>
      <c r="K18" s="417"/>
    </row>
    <row r="19" spans="1:11" s="330" customFormat="1" ht="15" customHeight="1">
      <c r="A19" s="1322" t="s">
        <v>307</v>
      </c>
      <c r="B19" s="1322"/>
      <c r="C19" s="1322"/>
      <c r="D19" s="1322"/>
      <c r="H19" s="417"/>
      <c r="I19" s="417"/>
      <c r="J19" s="417"/>
      <c r="K19" s="417"/>
    </row>
    <row r="20" spans="1:11" s="330" customFormat="1">
      <c r="A20" s="419"/>
      <c r="H20" s="417"/>
      <c r="I20" s="417"/>
      <c r="J20" s="417"/>
      <c r="K20" s="417"/>
    </row>
    <row r="21" spans="1:11" s="330" customFormat="1">
      <c r="A21" s="92"/>
      <c r="B21" s="92"/>
      <c r="C21" s="92"/>
      <c r="D21" s="92"/>
    </row>
    <row r="22" spans="1:11">
      <c r="B22" s="331"/>
      <c r="C22" s="331"/>
    </row>
    <row r="23" spans="1:11">
      <c r="B23" s="331"/>
      <c r="C23" s="331"/>
    </row>
    <row r="24" spans="1:11">
      <c r="B24" s="331"/>
      <c r="C24" s="331"/>
    </row>
    <row r="25" spans="1:11">
      <c r="B25" s="331"/>
      <c r="C25" s="331"/>
    </row>
  </sheetData>
  <mergeCells count="3">
    <mergeCell ref="A2:A3"/>
    <mergeCell ref="B2:E2"/>
    <mergeCell ref="A19:D19"/>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28"/>
  <sheetViews>
    <sheetView workbookViewId="0"/>
  </sheetViews>
  <sheetFormatPr defaultColWidth="9.140625" defaultRowHeight="15"/>
  <cols>
    <col min="1" max="11" width="14.5703125" style="142" bestFit="1" customWidth="1"/>
    <col min="12" max="12" width="15" style="142" bestFit="1" customWidth="1"/>
    <col min="13" max="13" width="4.5703125" style="142" bestFit="1" customWidth="1"/>
    <col min="14" max="16384" width="9.140625" style="142"/>
  </cols>
  <sheetData>
    <row r="1" spans="1:13">
      <c r="A1" s="193" t="s">
        <v>37</v>
      </c>
      <c r="B1" s="193"/>
      <c r="C1" s="193"/>
      <c r="D1" s="193"/>
      <c r="E1" s="193"/>
      <c r="F1" s="193"/>
      <c r="G1" s="193"/>
      <c r="H1" s="193"/>
      <c r="I1" s="193"/>
      <c r="J1" s="193"/>
      <c r="K1" s="193"/>
      <c r="L1" s="193"/>
    </row>
    <row r="2" spans="1:13" s="283" customFormat="1">
      <c r="A2" s="1415" t="s">
        <v>142</v>
      </c>
      <c r="B2" s="1406" t="s">
        <v>242</v>
      </c>
      <c r="C2" s="1422" t="s">
        <v>549</v>
      </c>
      <c r="D2" s="1423"/>
      <c r="E2" s="1408" t="s">
        <v>550</v>
      </c>
      <c r="F2" s="1409"/>
      <c r="G2" s="1409"/>
      <c r="H2" s="1410"/>
      <c r="I2" s="1422" t="s">
        <v>96</v>
      </c>
      <c r="J2" s="1423"/>
      <c r="K2" s="1424" t="s">
        <v>551</v>
      </c>
      <c r="L2" s="1425"/>
    </row>
    <row r="3" spans="1:13" s="283" customFormat="1">
      <c r="A3" s="1421"/>
      <c r="B3" s="1407"/>
      <c r="C3" s="1306"/>
      <c r="D3" s="1307"/>
      <c r="E3" s="1408" t="s">
        <v>552</v>
      </c>
      <c r="F3" s="1410"/>
      <c r="G3" s="1408" t="s">
        <v>553</v>
      </c>
      <c r="H3" s="1410"/>
      <c r="I3" s="1306"/>
      <c r="J3" s="1307"/>
      <c r="K3" s="1426"/>
      <c r="L3" s="1427"/>
    </row>
    <row r="4" spans="1:13" s="283" customFormat="1" ht="30">
      <c r="A4" s="1329"/>
      <c r="B4" s="1314"/>
      <c r="C4" s="492" t="s">
        <v>514</v>
      </c>
      <c r="D4" s="492" t="s">
        <v>268</v>
      </c>
      <c r="E4" s="492" t="s">
        <v>514</v>
      </c>
      <c r="F4" s="492" t="s">
        <v>268</v>
      </c>
      <c r="G4" s="492" t="s">
        <v>514</v>
      </c>
      <c r="H4" s="492" t="s">
        <v>268</v>
      </c>
      <c r="I4" s="492" t="s">
        <v>514</v>
      </c>
      <c r="J4" s="492" t="s">
        <v>268</v>
      </c>
      <c r="K4" s="492" t="s">
        <v>512</v>
      </c>
      <c r="L4" s="506" t="s">
        <v>554</v>
      </c>
    </row>
    <row r="5" spans="1:13" s="285" customFormat="1">
      <c r="A5" s="679" t="s">
        <v>518</v>
      </c>
      <c r="B5" s="512">
        <v>241</v>
      </c>
      <c r="C5" s="513">
        <v>264230072</v>
      </c>
      <c r="D5" s="514">
        <v>2189493.6302000005</v>
      </c>
      <c r="E5" s="513">
        <v>10072828</v>
      </c>
      <c r="F5" s="514">
        <v>83584.349700000021</v>
      </c>
      <c r="G5" s="513">
        <v>8811787</v>
      </c>
      <c r="H5" s="514">
        <v>72737.362100000013</v>
      </c>
      <c r="I5" s="513">
        <v>283114687</v>
      </c>
      <c r="J5" s="514">
        <v>2345815.3420000002</v>
      </c>
      <c r="K5" s="514">
        <v>1158785</v>
      </c>
      <c r="L5" s="515">
        <v>9668.9115424100019</v>
      </c>
    </row>
    <row r="6" spans="1:13" s="285" customFormat="1">
      <c r="A6" s="682" t="s">
        <v>743</v>
      </c>
      <c r="B6" s="694">
        <f>SUM(B7:B18)</f>
        <v>100</v>
      </c>
      <c r="C6" s="694">
        <f t="shared" ref="C6:J6" si="0">SUM(C7:C18)</f>
        <v>3684522</v>
      </c>
      <c r="D6" s="694">
        <f t="shared" si="0"/>
        <v>30766.306399999998</v>
      </c>
      <c r="E6" s="694">
        <f t="shared" si="0"/>
        <v>20623</v>
      </c>
      <c r="F6" s="694">
        <f t="shared" si="0"/>
        <v>172.30069999999998</v>
      </c>
      <c r="G6" s="694">
        <f t="shared" si="0"/>
        <v>22107</v>
      </c>
      <c r="H6" s="694">
        <f t="shared" si="0"/>
        <v>183.59569999999997</v>
      </c>
      <c r="I6" s="694">
        <f t="shared" si="0"/>
        <v>3727252</v>
      </c>
      <c r="J6" s="694">
        <f t="shared" si="0"/>
        <v>31122.202799999999</v>
      </c>
      <c r="K6" s="694">
        <f>INDEX(K7:K18,COUNT(K7:K18))</f>
        <v>514</v>
      </c>
      <c r="L6" s="694">
        <f>INDEX(L7:L18,COUNT(L7:L18))</f>
        <v>4.3109642600000004</v>
      </c>
    </row>
    <row r="7" spans="1:13" s="283" customFormat="1">
      <c r="A7" s="174">
        <v>45412</v>
      </c>
      <c r="B7" s="189">
        <v>18</v>
      </c>
      <c r="C7" s="312">
        <v>3150904</v>
      </c>
      <c r="D7" s="312">
        <v>26310.400999999998</v>
      </c>
      <c r="E7" s="312">
        <v>20623</v>
      </c>
      <c r="F7" s="312">
        <v>172.30069999999998</v>
      </c>
      <c r="G7" s="312">
        <v>22107</v>
      </c>
      <c r="H7" s="312">
        <v>183.59569999999997</v>
      </c>
      <c r="I7" s="312">
        <v>3193634</v>
      </c>
      <c r="J7" s="312">
        <v>26666.297399999999</v>
      </c>
      <c r="K7" s="311">
        <v>252685</v>
      </c>
      <c r="L7" s="312">
        <v>2111.52940683</v>
      </c>
    </row>
    <row r="8" spans="1:13" s="283" customFormat="1">
      <c r="A8" s="174">
        <v>45443</v>
      </c>
      <c r="B8" s="189">
        <v>20</v>
      </c>
      <c r="C8" s="312">
        <v>240852</v>
      </c>
      <c r="D8" s="312">
        <v>2011.5062</v>
      </c>
      <c r="E8" s="311">
        <v>0</v>
      </c>
      <c r="F8" s="312">
        <v>0</v>
      </c>
      <c r="G8" s="311">
        <v>0</v>
      </c>
      <c r="H8" s="312">
        <v>0</v>
      </c>
      <c r="I8" s="312">
        <v>240852</v>
      </c>
      <c r="J8" s="312">
        <v>2011.5062</v>
      </c>
      <c r="K8" s="312">
        <v>9076</v>
      </c>
      <c r="L8" s="312">
        <v>75.601990879999988</v>
      </c>
    </row>
    <row r="9" spans="1:13" s="283" customFormat="1">
      <c r="A9" s="174">
        <v>45473</v>
      </c>
      <c r="B9" s="189">
        <v>19</v>
      </c>
      <c r="C9" s="312">
        <v>271760</v>
      </c>
      <c r="D9" s="312">
        <v>2268.5628999999994</v>
      </c>
      <c r="E9" s="311">
        <v>0</v>
      </c>
      <c r="F9" s="312">
        <v>0</v>
      </c>
      <c r="G9" s="311">
        <v>0</v>
      </c>
      <c r="H9" s="312">
        <v>0</v>
      </c>
      <c r="I9" s="312">
        <v>271760</v>
      </c>
      <c r="J9" s="312">
        <v>2268.5628999999994</v>
      </c>
      <c r="K9" s="312">
        <v>45810</v>
      </c>
      <c r="L9" s="312">
        <v>382.30002539999998</v>
      </c>
    </row>
    <row r="10" spans="1:13" s="283" customFormat="1">
      <c r="A10" s="174">
        <v>45504</v>
      </c>
      <c r="B10" s="189">
        <v>22</v>
      </c>
      <c r="C10" s="312">
        <v>21005</v>
      </c>
      <c r="D10" s="312">
        <v>175.8263</v>
      </c>
      <c r="E10" s="311">
        <v>0</v>
      </c>
      <c r="F10" s="312">
        <v>0</v>
      </c>
      <c r="G10" s="311">
        <v>0</v>
      </c>
      <c r="H10" s="312">
        <v>0</v>
      </c>
      <c r="I10" s="312">
        <v>21005</v>
      </c>
      <c r="J10" s="312">
        <v>175.8263</v>
      </c>
      <c r="K10" s="312">
        <v>535</v>
      </c>
      <c r="L10" s="312">
        <v>4.4803040000000003</v>
      </c>
      <c r="M10" s="284"/>
    </row>
    <row r="11" spans="1:13" s="283" customFormat="1">
      <c r="A11" s="174">
        <v>45535</v>
      </c>
      <c r="B11" s="189">
        <v>21</v>
      </c>
      <c r="C11" s="189">
        <v>1</v>
      </c>
      <c r="D11" s="189">
        <v>0.01</v>
      </c>
      <c r="E11" s="189">
        <v>0</v>
      </c>
      <c r="F11" s="189">
        <v>0</v>
      </c>
      <c r="G11" s="189">
        <v>0</v>
      </c>
      <c r="H11" s="189">
        <v>0</v>
      </c>
      <c r="I11" s="312">
        <v>1</v>
      </c>
      <c r="J11" s="312">
        <v>0.01</v>
      </c>
      <c r="K11" s="189">
        <v>514</v>
      </c>
      <c r="L11" s="723">
        <v>4.3109642600000004</v>
      </c>
      <c r="M11" s="284"/>
    </row>
    <row r="12" spans="1:13" s="283" customFormat="1">
      <c r="A12" s="174">
        <v>45565</v>
      </c>
      <c r="B12" s="189"/>
      <c r="C12" s="190"/>
      <c r="D12" s="311"/>
      <c r="E12" s="311"/>
      <c r="F12" s="312"/>
      <c r="G12" s="311"/>
      <c r="H12" s="312"/>
      <c r="I12" s="190"/>
      <c r="J12" s="311"/>
      <c r="K12" s="311"/>
      <c r="L12" s="312"/>
    </row>
    <row r="13" spans="1:13" s="283" customFormat="1">
      <c r="A13" s="174">
        <v>45596</v>
      </c>
      <c r="B13" s="189"/>
      <c r="C13" s="190"/>
      <c r="D13" s="311"/>
      <c r="E13" s="311"/>
      <c r="F13" s="312"/>
      <c r="G13" s="311"/>
      <c r="H13" s="312"/>
      <c r="I13" s="190"/>
      <c r="J13" s="311"/>
      <c r="K13" s="311"/>
      <c r="L13" s="312"/>
    </row>
    <row r="14" spans="1:13" s="330" customFormat="1">
      <c r="A14" s="174">
        <v>45626</v>
      </c>
      <c r="B14" s="327"/>
      <c r="C14" s="327"/>
      <c r="D14" s="327"/>
      <c r="E14" s="327"/>
      <c r="F14" s="312"/>
      <c r="G14" s="311"/>
      <c r="H14" s="318"/>
      <c r="I14" s="318"/>
      <c r="J14" s="311"/>
      <c r="K14" s="311"/>
      <c r="L14" s="312"/>
    </row>
    <row r="15" spans="1:13" s="330" customFormat="1">
      <c r="A15" s="174">
        <v>45657</v>
      </c>
      <c r="B15" s="327"/>
      <c r="C15" s="327"/>
      <c r="D15" s="327"/>
      <c r="E15" s="327"/>
      <c r="F15" s="312"/>
      <c r="G15" s="311"/>
      <c r="H15" s="318"/>
      <c r="I15" s="318"/>
      <c r="J15" s="312"/>
      <c r="K15" s="311"/>
      <c r="L15" s="312"/>
    </row>
    <row r="16" spans="1:13" s="330" customFormat="1">
      <c r="A16" s="174">
        <v>45688</v>
      </c>
      <c r="B16" s="327"/>
      <c r="C16" s="327"/>
      <c r="D16" s="327"/>
      <c r="E16" s="327"/>
      <c r="F16" s="312"/>
      <c r="G16" s="311"/>
      <c r="H16" s="318"/>
      <c r="I16" s="318"/>
      <c r="J16" s="311"/>
      <c r="K16" s="311"/>
      <c r="L16" s="312"/>
    </row>
    <row r="17" spans="1:12" s="330" customFormat="1">
      <c r="A17" s="174">
        <v>45716</v>
      </c>
      <c r="B17" s="327"/>
      <c r="C17" s="327"/>
      <c r="D17" s="327"/>
      <c r="E17" s="327"/>
      <c r="F17" s="312"/>
      <c r="G17" s="311"/>
      <c r="H17" s="318"/>
      <c r="I17" s="318"/>
      <c r="J17" s="311"/>
      <c r="K17" s="311"/>
      <c r="L17" s="312"/>
    </row>
    <row r="18" spans="1:12" s="330" customFormat="1">
      <c r="A18" s="174">
        <v>45747</v>
      </c>
      <c r="B18" s="327"/>
      <c r="C18" s="327"/>
      <c r="D18" s="327"/>
      <c r="E18" s="327"/>
      <c r="F18" s="327"/>
      <c r="G18" s="327"/>
      <c r="H18" s="318"/>
      <c r="I18" s="318"/>
      <c r="J18" s="346"/>
      <c r="K18" s="346"/>
      <c r="L18" s="346"/>
    </row>
    <row r="19" spans="1:12" s="283" customFormat="1">
      <c r="A19" s="743" t="str">
        <f>"$ indicates as on "&amp;TEXT(IF(COUNT(B7:B18)=1,A7,IF(COUNT(B7:B18)=2,A8,IF(COUNT(B7:B18)=3,A9,IF(COUNT(B7:B18)=4,A10,IF(COUNT(B7:B18)=5,A11,IF(COUNT(B7:B18)=6,A12,IF(COUNT(B7:B18)=7,A13,IF(COUNT(B7:B18)=8,A14,IF(COUNT(B7:B18)=9,A15,IF(COUNT(B7:B18)=10,A16,IF(COUNT(B7:B18)=11,A17,A18))))))))))),"mmmm dd, yyyy")</f>
        <v>$ indicates as on August 31, 2024</v>
      </c>
      <c r="B19" s="379"/>
      <c r="C19" s="380"/>
      <c r="D19" s="381"/>
      <c r="E19" s="381"/>
      <c r="F19" s="382"/>
      <c r="G19" s="381"/>
      <c r="H19" s="383"/>
      <c r="I19" s="384"/>
      <c r="J19" s="381"/>
      <c r="K19" s="381"/>
      <c r="L19" s="383"/>
    </row>
    <row r="20" spans="1:12" s="283" customFormat="1">
      <c r="A20" s="1302" t="s">
        <v>257</v>
      </c>
      <c r="B20" s="1302"/>
      <c r="C20" s="1302"/>
      <c r="D20" s="1302"/>
      <c r="E20" s="1302"/>
      <c r="F20" s="1302"/>
      <c r="G20" s="1302"/>
      <c r="H20" s="1302"/>
      <c r="I20" s="1302"/>
      <c r="J20" s="1302"/>
      <c r="K20" s="1302"/>
      <c r="L20" s="1302"/>
    </row>
    <row r="21" spans="1:12" s="283" customFormat="1">
      <c r="A21" s="419"/>
    </row>
    <row r="22" spans="1:12" s="283" customFormat="1">
      <c r="A22" s="142"/>
      <c r="B22" s="142"/>
      <c r="C22" s="142"/>
      <c r="D22" s="142"/>
      <c r="E22" s="152"/>
      <c r="F22" s="152"/>
      <c r="G22" s="152"/>
      <c r="H22" s="152"/>
      <c r="I22" s="152"/>
      <c r="J22" s="152"/>
      <c r="K22" s="142"/>
      <c r="L22" s="142"/>
    </row>
    <row r="23" spans="1:12">
      <c r="E23" s="152"/>
      <c r="F23" s="152"/>
      <c r="G23" s="152"/>
      <c r="H23" s="152"/>
      <c r="I23" s="152"/>
      <c r="J23" s="152"/>
    </row>
    <row r="24" spans="1:12">
      <c r="E24" s="152"/>
      <c r="F24" s="152"/>
      <c r="G24" s="152"/>
      <c r="H24" s="152"/>
      <c r="I24" s="152"/>
      <c r="J24" s="152"/>
    </row>
    <row r="25" spans="1:12">
      <c r="E25" s="152"/>
      <c r="F25" s="152"/>
      <c r="G25" s="152"/>
      <c r="H25" s="152"/>
      <c r="I25" s="152"/>
      <c r="J25" s="152"/>
    </row>
    <row r="26" spans="1:12">
      <c r="E26" s="152"/>
      <c r="F26" s="152"/>
      <c r="G26" s="152"/>
      <c r="H26" s="152"/>
      <c r="I26" s="152"/>
      <c r="J26" s="152"/>
    </row>
    <row r="27" spans="1:12">
      <c r="I27" s="153"/>
      <c r="J27" s="153"/>
    </row>
    <row r="28" spans="1:12">
      <c r="I28" s="153"/>
      <c r="J28" s="153"/>
    </row>
  </sheetData>
  <mergeCells count="9">
    <mergeCell ref="A20:L20"/>
    <mergeCell ref="A2:A4"/>
    <mergeCell ref="B2:B4"/>
    <mergeCell ref="C2:D3"/>
    <mergeCell ref="E2:H2"/>
    <mergeCell ref="I2:J3"/>
    <mergeCell ref="K2:L3"/>
    <mergeCell ref="E3:F3"/>
    <mergeCell ref="G3:H3"/>
  </mergeCells>
  <printOptions horizontalCentered="1"/>
  <pageMargins left="0.78431372549019618" right="0.78431372549019618" top="0.98039215686274517" bottom="0.98039215686274517" header="0.50980392156862753" footer="0.50980392156862753"/>
  <pageSetup paperSize="9" scale="71" orientation="landscape" useFirstPageNumber="1" r:id="rId1"/>
  <headerFooter alignWithMargins="0"/>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28"/>
  <sheetViews>
    <sheetView workbookViewId="0"/>
  </sheetViews>
  <sheetFormatPr defaultColWidth="9.140625" defaultRowHeight="15"/>
  <cols>
    <col min="1" max="1" width="9.42578125" style="92" bestFit="1" customWidth="1"/>
    <col min="2" max="2" width="14.5703125" style="92" bestFit="1" customWidth="1"/>
    <col min="3" max="4" width="12.42578125" style="92" bestFit="1" customWidth="1"/>
    <col min="5" max="5" width="14.7109375" style="92" customWidth="1"/>
    <col min="6" max="6" width="12.42578125" style="92" bestFit="1" customWidth="1"/>
    <col min="7" max="7" width="13.140625" style="92" customWidth="1"/>
    <col min="8" max="8" width="12.42578125" style="92" bestFit="1" customWidth="1"/>
    <col min="9" max="9" width="14.5703125" style="92" customWidth="1"/>
    <col min="10" max="10" width="13.42578125" style="92" bestFit="1" customWidth="1"/>
    <col min="11" max="11" width="12.42578125" style="92" customWidth="1"/>
    <col min="12" max="12" width="10.85546875" style="92" bestFit="1" customWidth="1"/>
    <col min="13" max="13" width="9.85546875" style="92" customWidth="1"/>
    <col min="14" max="16384" width="9.140625" style="92"/>
  </cols>
  <sheetData>
    <row r="1" spans="1:12">
      <c r="A1" s="193" t="s">
        <v>38</v>
      </c>
      <c r="B1" s="193"/>
      <c r="C1" s="193"/>
      <c r="D1" s="193"/>
      <c r="E1" s="193"/>
      <c r="F1" s="193"/>
      <c r="G1" s="193"/>
      <c r="H1" s="193"/>
      <c r="I1" s="193"/>
      <c r="J1" s="193"/>
      <c r="K1" s="193"/>
      <c r="L1" s="193"/>
    </row>
    <row r="2" spans="1:12" s="330" customFormat="1">
      <c r="A2" s="1406" t="s">
        <v>524</v>
      </c>
      <c r="B2" s="1406" t="s">
        <v>555</v>
      </c>
      <c r="C2" s="1408" t="s">
        <v>549</v>
      </c>
      <c r="D2" s="1410"/>
      <c r="E2" s="1408" t="s">
        <v>556</v>
      </c>
      <c r="F2" s="1409"/>
      <c r="G2" s="1409"/>
      <c r="H2" s="1410"/>
      <c r="I2" s="1408" t="s">
        <v>96</v>
      </c>
      <c r="J2" s="1410"/>
      <c r="K2" s="1411" t="s">
        <v>557</v>
      </c>
      <c r="L2" s="1414"/>
    </row>
    <row r="3" spans="1:12" s="330" customFormat="1">
      <c r="A3" s="1407"/>
      <c r="B3" s="1407"/>
      <c r="C3" s="1404" t="s">
        <v>558</v>
      </c>
      <c r="D3" s="1404" t="s">
        <v>559</v>
      </c>
      <c r="E3" s="1408" t="s">
        <v>552</v>
      </c>
      <c r="F3" s="1410"/>
      <c r="G3" s="1408" t="s">
        <v>553</v>
      </c>
      <c r="H3" s="1410"/>
      <c r="I3" s="1428" t="s">
        <v>514</v>
      </c>
      <c r="J3" s="1428" t="s">
        <v>268</v>
      </c>
      <c r="K3" s="1404" t="s">
        <v>558</v>
      </c>
      <c r="L3" s="1404" t="s">
        <v>560</v>
      </c>
    </row>
    <row r="4" spans="1:12" s="330" customFormat="1" ht="30">
      <c r="A4" s="1314"/>
      <c r="B4" s="1314"/>
      <c r="C4" s="1405"/>
      <c r="D4" s="1405"/>
      <c r="E4" s="516" t="s">
        <v>514</v>
      </c>
      <c r="F4" s="516" t="s">
        <v>268</v>
      </c>
      <c r="G4" s="516" t="s">
        <v>514</v>
      </c>
      <c r="H4" s="516" t="s">
        <v>268</v>
      </c>
      <c r="I4" s="1429"/>
      <c r="J4" s="1429"/>
      <c r="K4" s="1405"/>
      <c r="L4" s="1405"/>
    </row>
    <row r="5" spans="1:12" s="97" customFormat="1">
      <c r="A5" s="517" t="s">
        <v>518</v>
      </c>
      <c r="B5" s="518">
        <v>241</v>
      </c>
      <c r="C5" s="519">
        <v>851902719</v>
      </c>
      <c r="D5" s="494">
        <v>7201741.9799999986</v>
      </c>
      <c r="E5" s="520">
        <v>1738285961</v>
      </c>
      <c r="F5" s="494">
        <v>14436935.25999999</v>
      </c>
      <c r="G5" s="519">
        <v>1632032548</v>
      </c>
      <c r="H5" s="494">
        <v>13505360.920000002</v>
      </c>
      <c r="I5" s="520">
        <v>4222221228</v>
      </c>
      <c r="J5" s="519">
        <v>35144038.149999999</v>
      </c>
      <c r="K5" s="519">
        <v>17804703</v>
      </c>
      <c r="L5" s="498">
        <v>165247.0914</v>
      </c>
    </row>
    <row r="6" spans="1:12" s="97" customFormat="1">
      <c r="A6" s="199" t="s">
        <v>743</v>
      </c>
      <c r="B6" s="694">
        <f>SUM(B7:B18)</f>
        <v>100</v>
      </c>
      <c r="C6" s="694">
        <f t="shared" ref="C6:J6" si="0">SUM(C7:C18)</f>
        <v>69781703</v>
      </c>
      <c r="D6" s="694">
        <f t="shared" si="0"/>
        <v>585901.99071940454</v>
      </c>
      <c r="E6" s="694">
        <f t="shared" si="0"/>
        <v>10693134</v>
      </c>
      <c r="F6" s="694">
        <f t="shared" si="0"/>
        <v>89701.045660999996</v>
      </c>
      <c r="G6" s="694">
        <f t="shared" si="0"/>
        <v>9392919</v>
      </c>
      <c r="H6" s="694">
        <f t="shared" si="0"/>
        <v>78123.909298500017</v>
      </c>
      <c r="I6" s="694">
        <f t="shared" si="0"/>
        <v>89867756</v>
      </c>
      <c r="J6" s="694">
        <f t="shared" si="0"/>
        <v>753726.93567890453</v>
      </c>
      <c r="K6" s="694">
        <f>INDEX(K7:K18,COUNT(K7:K18))</f>
        <v>1914822</v>
      </c>
      <c r="L6" s="694">
        <f>INDEX(L7:L18,COUNT(L7:L18))</f>
        <v>16061.395699999999</v>
      </c>
    </row>
    <row r="7" spans="1:12" s="330" customFormat="1">
      <c r="A7" s="174">
        <v>45412</v>
      </c>
      <c r="B7" s="385">
        <v>18</v>
      </c>
      <c r="C7" s="386">
        <v>25887006</v>
      </c>
      <c r="D7" s="317">
        <v>217438.37</v>
      </c>
      <c r="E7" s="317">
        <v>9600292</v>
      </c>
      <c r="F7" s="320">
        <v>80511.67</v>
      </c>
      <c r="G7" s="317">
        <v>8858247</v>
      </c>
      <c r="H7" s="320">
        <v>73676.570000000007</v>
      </c>
      <c r="I7" s="387">
        <v>44345545</v>
      </c>
      <c r="J7" s="317">
        <v>371626.6</v>
      </c>
      <c r="K7" s="320">
        <v>4205161</v>
      </c>
      <c r="L7" s="320">
        <v>34682.299599999998</v>
      </c>
    </row>
    <row r="8" spans="1:12" s="330" customFormat="1">
      <c r="A8" s="174">
        <v>45443</v>
      </c>
      <c r="B8" s="315">
        <v>20</v>
      </c>
      <c r="C8" s="316">
        <v>12571143</v>
      </c>
      <c r="D8" s="329">
        <v>105150.50071940459</v>
      </c>
      <c r="E8" s="317">
        <v>429828</v>
      </c>
      <c r="F8" s="320">
        <v>3605.5656609999996</v>
      </c>
      <c r="G8" s="317">
        <v>266533</v>
      </c>
      <c r="H8" s="320">
        <v>2215.5392985000003</v>
      </c>
      <c r="I8" s="387">
        <v>13267504</v>
      </c>
      <c r="J8" s="329">
        <v>110971.6056789046</v>
      </c>
      <c r="K8" s="329">
        <v>3064185</v>
      </c>
      <c r="L8" s="320">
        <v>25354.244500000001</v>
      </c>
    </row>
    <row r="9" spans="1:12" s="330" customFormat="1">
      <c r="A9" s="174">
        <v>45473</v>
      </c>
      <c r="B9" s="315">
        <v>19</v>
      </c>
      <c r="C9" s="328">
        <v>13057459</v>
      </c>
      <c r="D9" s="328">
        <v>109312.06</v>
      </c>
      <c r="E9" s="328">
        <v>310279</v>
      </c>
      <c r="F9" s="328">
        <v>2612.15</v>
      </c>
      <c r="G9" s="328">
        <v>158451</v>
      </c>
      <c r="H9" s="328">
        <v>1315.65</v>
      </c>
      <c r="I9" s="328">
        <v>13526189</v>
      </c>
      <c r="J9" s="328">
        <v>113239.86</v>
      </c>
      <c r="K9" s="328">
        <v>2882251</v>
      </c>
      <c r="L9" s="328">
        <v>23813.798900000002</v>
      </c>
    </row>
    <row r="10" spans="1:12" s="330" customFormat="1">
      <c r="A10" s="174">
        <v>45504</v>
      </c>
      <c r="B10" s="315">
        <v>22</v>
      </c>
      <c r="C10" s="328">
        <v>5414603</v>
      </c>
      <c r="D10" s="328">
        <v>45606.44</v>
      </c>
      <c r="E10" s="328">
        <v>186375</v>
      </c>
      <c r="F10" s="328">
        <v>1568.41</v>
      </c>
      <c r="G10" s="328">
        <v>53885</v>
      </c>
      <c r="H10" s="328">
        <v>449.74</v>
      </c>
      <c r="I10" s="328">
        <v>5654863</v>
      </c>
      <c r="J10" s="328">
        <v>47624.59</v>
      </c>
      <c r="K10" s="328">
        <v>1332388</v>
      </c>
      <c r="L10" s="328">
        <v>11081.4085</v>
      </c>
    </row>
    <row r="11" spans="1:12" s="330" customFormat="1">
      <c r="A11" s="174">
        <v>45535</v>
      </c>
      <c r="B11" s="315">
        <v>21</v>
      </c>
      <c r="C11" s="328">
        <v>12851492</v>
      </c>
      <c r="D11" s="328">
        <v>108394.62</v>
      </c>
      <c r="E11" s="328">
        <v>166360</v>
      </c>
      <c r="F11" s="328">
        <v>1403.25</v>
      </c>
      <c r="G11" s="328">
        <v>55803</v>
      </c>
      <c r="H11" s="328">
        <v>466.41</v>
      </c>
      <c r="I11" s="328">
        <v>13073655</v>
      </c>
      <c r="J11" s="328">
        <v>110264.28</v>
      </c>
      <c r="K11" s="328">
        <v>1914822</v>
      </c>
      <c r="L11" s="328">
        <v>16061.395699999999</v>
      </c>
    </row>
    <row r="12" spans="1:12" s="330" customFormat="1">
      <c r="A12" s="174">
        <v>45565</v>
      </c>
      <c r="B12" s="315"/>
      <c r="C12" s="316"/>
      <c r="D12" s="329"/>
      <c r="E12" s="316"/>
      <c r="F12" s="329"/>
      <c r="G12" s="316"/>
      <c r="H12" s="329"/>
      <c r="I12" s="316"/>
      <c r="J12" s="329"/>
      <c r="K12" s="316"/>
      <c r="L12" s="328"/>
    </row>
    <row r="13" spans="1:12" s="330" customFormat="1">
      <c r="A13" s="174">
        <v>45596</v>
      </c>
      <c r="B13" s="315"/>
      <c r="C13" s="316"/>
      <c r="D13" s="329"/>
      <c r="E13" s="316"/>
      <c r="F13" s="329"/>
      <c r="G13" s="316"/>
      <c r="H13" s="329"/>
      <c r="I13" s="316"/>
      <c r="J13" s="329"/>
      <c r="K13" s="316"/>
      <c r="L13" s="328"/>
    </row>
    <row r="14" spans="1:12" s="330" customFormat="1">
      <c r="A14" s="174">
        <v>45626</v>
      </c>
      <c r="B14" s="315"/>
      <c r="C14" s="316"/>
      <c r="D14" s="329"/>
      <c r="E14" s="316"/>
      <c r="F14" s="329"/>
      <c r="G14" s="316"/>
      <c r="H14" s="329"/>
      <c r="I14" s="316"/>
      <c r="J14" s="329"/>
      <c r="K14" s="316"/>
      <c r="L14" s="328"/>
    </row>
    <row r="15" spans="1:12" s="330" customFormat="1">
      <c r="A15" s="174">
        <v>45657</v>
      </c>
      <c r="B15" s="315"/>
      <c r="C15" s="316"/>
      <c r="D15" s="329"/>
      <c r="E15" s="316"/>
      <c r="F15" s="329"/>
      <c r="G15" s="316"/>
      <c r="H15" s="329"/>
      <c r="I15" s="316"/>
      <c r="J15" s="329"/>
      <c r="K15" s="316"/>
      <c r="L15" s="328"/>
    </row>
    <row r="16" spans="1:12" s="330" customFormat="1">
      <c r="A16" s="174">
        <v>45688</v>
      </c>
      <c r="B16" s="315"/>
      <c r="C16" s="316"/>
      <c r="D16" s="329"/>
      <c r="E16" s="316"/>
      <c r="F16" s="329"/>
      <c r="G16" s="316"/>
      <c r="H16" s="329"/>
      <c r="I16" s="316"/>
      <c r="J16" s="329"/>
      <c r="K16" s="316"/>
      <c r="L16" s="328"/>
    </row>
    <row r="17" spans="1:12" s="330" customFormat="1">
      <c r="A17" s="174">
        <v>45716</v>
      </c>
      <c r="B17" s="315"/>
      <c r="C17" s="316"/>
      <c r="D17" s="329"/>
      <c r="E17" s="316"/>
      <c r="F17" s="329"/>
      <c r="G17" s="316"/>
      <c r="H17" s="329"/>
      <c r="I17" s="316"/>
      <c r="J17" s="329"/>
      <c r="K17" s="316"/>
      <c r="L17" s="328"/>
    </row>
    <row r="18" spans="1:12" s="330" customFormat="1">
      <c r="A18" s="174">
        <v>45747</v>
      </c>
      <c r="B18" s="327"/>
      <c r="C18" s="327"/>
      <c r="D18" s="327"/>
      <c r="E18" s="327"/>
      <c r="F18" s="327"/>
      <c r="G18" s="327"/>
      <c r="H18" s="318"/>
      <c r="I18" s="318"/>
      <c r="J18" s="346"/>
      <c r="K18" s="346"/>
      <c r="L18" s="346"/>
    </row>
    <row r="19" spans="1:12" s="330" customFormat="1" ht="13.5" customHeight="1">
      <c r="A19" s="743" t="str">
        <f>"$ indicates as on "&amp;TEXT(IF(COUNT(B7:B18)=1,A7,IF(COUNT(B7:B18)=2,A8,IF(COUNT(B7:B18)=3,A9,IF(COUNT(B7:B18)=4,A10,IF(COUNT(B7:B18)=5,A11,IF(COUNT(B7:B18)=6,A12,IF(COUNT(B7:B18)=7,A13,IF(COUNT(B7:B18)=8,A14,IF(COUNT(B7:B18)=9,A15,IF(COUNT(B7:B18)=10,A16,IF(COUNT(B7:B18)=11,A17,A18))))))))))),"mmmm dd, yyyy")</f>
        <v>$ indicates as on August 31, 2024</v>
      </c>
      <c r="B19" s="358"/>
      <c r="C19" s="359"/>
      <c r="D19" s="132"/>
      <c r="E19" s="359"/>
      <c r="F19" s="132"/>
      <c r="G19" s="359"/>
      <c r="H19" s="132"/>
      <c r="I19" s="359"/>
      <c r="J19" s="132"/>
      <c r="K19" s="359"/>
      <c r="L19" s="332"/>
    </row>
    <row r="20" spans="1:12" s="330" customFormat="1" ht="15" customHeight="1">
      <c r="A20" s="1322" t="s">
        <v>561</v>
      </c>
      <c r="B20" s="1322"/>
      <c r="C20" s="1322"/>
      <c r="D20" s="1322"/>
      <c r="E20" s="1322"/>
      <c r="F20" s="1322"/>
      <c r="G20" s="1322"/>
      <c r="H20" s="1322"/>
      <c r="I20" s="1322"/>
      <c r="J20" s="1322"/>
      <c r="K20" s="1322"/>
      <c r="L20" s="1322"/>
    </row>
    <row r="21" spans="1:12" s="330" customFormat="1" ht="15" customHeight="1">
      <c r="A21" s="1322" t="s">
        <v>307</v>
      </c>
      <c r="B21" s="1322"/>
      <c r="C21" s="1322"/>
      <c r="D21" s="1322"/>
      <c r="E21" s="1322"/>
      <c r="F21" s="1322"/>
      <c r="G21" s="1322"/>
      <c r="H21" s="1322"/>
      <c r="I21" s="1322"/>
      <c r="J21" s="1322"/>
      <c r="K21" s="1322"/>
      <c r="L21" s="1322"/>
    </row>
    <row r="22" spans="1:12" s="330" customFormat="1" ht="15" customHeight="1">
      <c r="A22" s="419"/>
    </row>
    <row r="23" spans="1:12" s="330" customFormat="1">
      <c r="A23" s="92"/>
      <c r="B23" s="92"/>
      <c r="C23" s="92"/>
      <c r="D23" s="92"/>
      <c r="E23" s="151"/>
      <c r="F23" s="151"/>
      <c r="G23" s="151"/>
      <c r="H23" s="151"/>
      <c r="I23" s="151"/>
      <c r="J23" s="151"/>
      <c r="K23" s="92"/>
      <c r="L23" s="92"/>
    </row>
    <row r="24" spans="1:12">
      <c r="E24" s="151"/>
      <c r="F24" s="151"/>
      <c r="G24" s="151"/>
      <c r="H24" s="151"/>
      <c r="I24" s="151"/>
      <c r="J24" s="151"/>
    </row>
    <row r="25" spans="1:12">
      <c r="E25" s="151"/>
      <c r="F25" s="151"/>
      <c r="G25" s="151"/>
      <c r="H25" s="151"/>
      <c r="I25" s="151"/>
      <c r="J25" s="151"/>
    </row>
    <row r="26" spans="1:12">
      <c r="E26" s="151"/>
      <c r="F26" s="151"/>
      <c r="G26" s="151"/>
      <c r="H26" s="151"/>
      <c r="I26" s="151"/>
      <c r="J26" s="151"/>
    </row>
    <row r="27" spans="1:12">
      <c r="E27" s="151"/>
      <c r="F27" s="151"/>
      <c r="G27" s="151"/>
      <c r="H27" s="151"/>
      <c r="I27" s="151"/>
      <c r="J27" s="151"/>
    </row>
    <row r="28" spans="1:12">
      <c r="J28" s="137"/>
    </row>
  </sheetData>
  <mergeCells count="16">
    <mergeCell ref="A21:L21"/>
    <mergeCell ref="A2:A4"/>
    <mergeCell ref="B2:B4"/>
    <mergeCell ref="C2:D2"/>
    <mergeCell ref="E2:H2"/>
    <mergeCell ref="I2:J2"/>
    <mergeCell ref="K2:L2"/>
    <mergeCell ref="C3:C4"/>
    <mergeCell ref="D3:D4"/>
    <mergeCell ref="E3:F3"/>
    <mergeCell ref="G3:H3"/>
    <mergeCell ref="I3:I4"/>
    <mergeCell ref="J3:J4"/>
    <mergeCell ref="K3:K4"/>
    <mergeCell ref="L3:L4"/>
    <mergeCell ref="A20:L20"/>
  </mergeCells>
  <printOptions horizontalCentered="1"/>
  <pageMargins left="0.78431372549019618" right="0.78431372549019618" top="0.98039215686274517" bottom="0.98039215686274517" header="0.50980392156862753" footer="0.50980392156862753"/>
  <pageSetup paperSize="9" scale="84" orientation="landscape" useFirstPageNumber="1" r:id="rId1"/>
  <headerFooter alignWithMargins="0"/>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22"/>
  <sheetViews>
    <sheetView workbookViewId="0"/>
  </sheetViews>
  <sheetFormatPr defaultColWidth="9.140625" defaultRowHeight="15"/>
  <cols>
    <col min="1" max="1" width="9.42578125" style="92" bestFit="1" customWidth="1"/>
    <col min="2" max="2" width="14.5703125" style="92" bestFit="1" customWidth="1"/>
    <col min="3" max="9" width="12.140625" style="92" bestFit="1" customWidth="1"/>
    <col min="10" max="10" width="10" style="92" bestFit="1" customWidth="1"/>
    <col min="11" max="11" width="14.140625" style="92" bestFit="1" customWidth="1"/>
    <col min="12" max="12" width="12.5703125" style="92" customWidth="1"/>
    <col min="13" max="13" width="7.5703125" style="92" bestFit="1" customWidth="1"/>
    <col min="14" max="16384" width="9.140625" style="92"/>
  </cols>
  <sheetData>
    <row r="1" spans="1:12" ht="15.75" customHeight="1">
      <c r="A1" s="193" t="s">
        <v>39</v>
      </c>
      <c r="B1" s="193"/>
      <c r="C1" s="193"/>
      <c r="D1" s="193"/>
      <c r="E1" s="193"/>
      <c r="F1" s="193"/>
      <c r="G1" s="193"/>
      <c r="H1" s="193"/>
      <c r="I1" s="193"/>
      <c r="J1" s="193"/>
      <c r="K1" s="193"/>
      <c r="L1" s="193"/>
    </row>
    <row r="2" spans="1:12" s="330" customFormat="1" ht="41.25" customHeight="1">
      <c r="A2" s="1406" t="s">
        <v>524</v>
      </c>
      <c r="B2" s="1406" t="s">
        <v>555</v>
      </c>
      <c r="C2" s="1408" t="s">
        <v>549</v>
      </c>
      <c r="D2" s="1410"/>
      <c r="E2" s="1431" t="s">
        <v>556</v>
      </c>
      <c r="F2" s="1431"/>
      <c r="G2" s="1431"/>
      <c r="H2" s="1431"/>
      <c r="I2" s="1408" t="s">
        <v>96</v>
      </c>
      <c r="J2" s="1410"/>
      <c r="K2" s="1432" t="s">
        <v>557</v>
      </c>
      <c r="L2" s="1433"/>
    </row>
    <row r="3" spans="1:12" s="330" customFormat="1" ht="18" customHeight="1">
      <c r="A3" s="1407"/>
      <c r="B3" s="1407"/>
      <c r="C3" s="1404" t="s">
        <v>558</v>
      </c>
      <c r="D3" s="1404" t="s">
        <v>559</v>
      </c>
      <c r="E3" s="1408" t="s">
        <v>552</v>
      </c>
      <c r="F3" s="1410"/>
      <c r="G3" s="1408" t="s">
        <v>553</v>
      </c>
      <c r="H3" s="1410"/>
      <c r="I3" s="1406" t="s">
        <v>512</v>
      </c>
      <c r="J3" s="1430" t="s">
        <v>562</v>
      </c>
      <c r="K3" s="1404" t="s">
        <v>558</v>
      </c>
      <c r="L3" s="1404" t="s">
        <v>560</v>
      </c>
    </row>
    <row r="4" spans="1:12" s="330" customFormat="1" ht="39" customHeight="1">
      <c r="A4" s="1314"/>
      <c r="B4" s="1314"/>
      <c r="C4" s="1405"/>
      <c r="D4" s="1405"/>
      <c r="E4" s="506" t="s">
        <v>558</v>
      </c>
      <c r="F4" s="506" t="s">
        <v>563</v>
      </c>
      <c r="G4" s="506" t="s">
        <v>558</v>
      </c>
      <c r="H4" s="506" t="s">
        <v>559</v>
      </c>
      <c r="I4" s="1314"/>
      <c r="J4" s="1430"/>
      <c r="K4" s="1405"/>
      <c r="L4" s="1405"/>
    </row>
    <row r="5" spans="1:12" s="97" customFormat="1" ht="18" customHeight="1">
      <c r="A5" s="679" t="s">
        <v>518</v>
      </c>
      <c r="B5" s="518">
        <v>241</v>
      </c>
      <c r="C5" s="519">
        <v>29862428</v>
      </c>
      <c r="D5" s="498">
        <v>247738.04429925</v>
      </c>
      <c r="E5" s="498">
        <v>0</v>
      </c>
      <c r="F5" s="498">
        <v>0</v>
      </c>
      <c r="G5" s="498">
        <v>0</v>
      </c>
      <c r="H5" s="498">
        <v>0</v>
      </c>
      <c r="I5" s="519">
        <v>29862428</v>
      </c>
      <c r="J5" s="498">
        <v>247738.04429924997</v>
      </c>
      <c r="K5" s="498">
        <v>103180</v>
      </c>
      <c r="L5" s="498">
        <v>861.50116824999998</v>
      </c>
    </row>
    <row r="6" spans="1:12" s="97" customFormat="1" ht="18" customHeight="1">
      <c r="A6" s="682" t="s">
        <v>743</v>
      </c>
      <c r="B6" s="694">
        <f>SUM(B7:B18)</f>
        <v>100</v>
      </c>
      <c r="C6" s="694">
        <f t="shared" ref="C6:J6" si="0">SUM(C7:C18)</f>
        <v>925475</v>
      </c>
      <c r="D6" s="694">
        <f t="shared" si="0"/>
        <v>7728.7475429999995</v>
      </c>
      <c r="E6" s="694">
        <f t="shared" si="0"/>
        <v>0</v>
      </c>
      <c r="F6" s="694">
        <f t="shared" si="0"/>
        <v>0</v>
      </c>
      <c r="G6" s="694">
        <f t="shared" si="0"/>
        <v>0</v>
      </c>
      <c r="H6" s="694">
        <f t="shared" si="0"/>
        <v>0</v>
      </c>
      <c r="I6" s="694">
        <f t="shared" si="0"/>
        <v>925475</v>
      </c>
      <c r="J6" s="694">
        <f t="shared" si="0"/>
        <v>7728.5430429999997</v>
      </c>
      <c r="K6" s="694">
        <f>INDEX(K7:K18,COUNT(K7:K18))</f>
        <v>0</v>
      </c>
      <c r="L6" s="694">
        <f>INDEX(L7:L18,COUNT(L7:L18))</f>
        <v>0</v>
      </c>
    </row>
    <row r="7" spans="1:12" s="330" customFormat="1" ht="18" customHeight="1">
      <c r="A7" s="174">
        <v>45412</v>
      </c>
      <c r="B7" s="315">
        <v>18</v>
      </c>
      <c r="C7" s="329">
        <v>636475</v>
      </c>
      <c r="D7" s="328">
        <v>5312.0762930000001</v>
      </c>
      <c r="E7" s="328">
        <v>0</v>
      </c>
      <c r="F7" s="328">
        <v>0</v>
      </c>
      <c r="G7" s="328">
        <v>0</v>
      </c>
      <c r="H7" s="313">
        <v>0</v>
      </c>
      <c r="I7" s="329">
        <v>636475</v>
      </c>
      <c r="J7" s="328">
        <v>5312.0762930000001</v>
      </c>
      <c r="K7" s="328">
        <v>40175</v>
      </c>
      <c r="L7" s="328">
        <v>335.53159025000002</v>
      </c>
    </row>
    <row r="8" spans="1:12" s="330" customFormat="1" ht="18" customHeight="1">
      <c r="A8" s="174">
        <v>45443</v>
      </c>
      <c r="B8" s="315">
        <v>20</v>
      </c>
      <c r="C8" s="329">
        <v>120000</v>
      </c>
      <c r="D8" s="328">
        <v>1001.7</v>
      </c>
      <c r="E8" s="328">
        <v>0</v>
      </c>
      <c r="F8" s="328">
        <v>0</v>
      </c>
      <c r="G8" s="328">
        <v>0</v>
      </c>
      <c r="H8" s="313">
        <v>0</v>
      </c>
      <c r="I8" s="329">
        <v>120000</v>
      </c>
      <c r="J8" s="328">
        <v>1001.7</v>
      </c>
      <c r="K8" s="328">
        <v>4</v>
      </c>
      <c r="L8" s="328">
        <v>3.3413999999999999E-2</v>
      </c>
    </row>
    <row r="9" spans="1:12" s="330" customFormat="1" ht="18" customHeight="1">
      <c r="A9" s="174">
        <v>45473</v>
      </c>
      <c r="B9" s="256">
        <v>19</v>
      </c>
      <c r="C9" s="256">
        <v>78000</v>
      </c>
      <c r="D9" s="256">
        <v>651.57425000000001</v>
      </c>
      <c r="E9" s="256">
        <v>0</v>
      </c>
      <c r="F9" s="256">
        <v>0</v>
      </c>
      <c r="G9" s="256">
        <v>0</v>
      </c>
      <c r="H9" s="256">
        <v>0</v>
      </c>
      <c r="I9" s="256">
        <v>78000</v>
      </c>
      <c r="J9" s="256">
        <v>651.57425000000001</v>
      </c>
      <c r="K9" s="256">
        <v>28000</v>
      </c>
      <c r="L9" s="256">
        <v>233.96100000000001</v>
      </c>
    </row>
    <row r="10" spans="1:12" s="330" customFormat="1" ht="18" customHeight="1">
      <c r="A10" s="174">
        <v>45504</v>
      </c>
      <c r="B10" s="315">
        <v>22</v>
      </c>
      <c r="C10" s="328">
        <v>21000</v>
      </c>
      <c r="D10" s="328">
        <v>175.78450000000001</v>
      </c>
      <c r="E10" s="328">
        <v>0</v>
      </c>
      <c r="F10" s="328">
        <v>0</v>
      </c>
      <c r="G10" s="328">
        <v>0</v>
      </c>
      <c r="H10" s="328">
        <v>0</v>
      </c>
      <c r="I10" s="328">
        <v>21000</v>
      </c>
      <c r="J10" s="328">
        <v>175.58</v>
      </c>
      <c r="K10" s="328">
        <v>0</v>
      </c>
      <c r="L10" s="328">
        <v>0</v>
      </c>
    </row>
    <row r="11" spans="1:12" s="330" customFormat="1" ht="18" customHeight="1">
      <c r="A11" s="174">
        <v>45535</v>
      </c>
      <c r="B11" s="315">
        <v>21</v>
      </c>
      <c r="C11" s="328">
        <v>70000</v>
      </c>
      <c r="D11" s="328">
        <v>587.61249999999995</v>
      </c>
      <c r="E11" s="328">
        <v>0</v>
      </c>
      <c r="F11" s="328">
        <v>0</v>
      </c>
      <c r="G11" s="328">
        <v>0</v>
      </c>
      <c r="H11" s="328">
        <v>0</v>
      </c>
      <c r="I11" s="328">
        <v>70000</v>
      </c>
      <c r="J11" s="328">
        <v>587.61249999999995</v>
      </c>
      <c r="K11" s="328">
        <v>0</v>
      </c>
      <c r="L11" s="328">
        <v>0</v>
      </c>
    </row>
    <row r="12" spans="1:12" s="330" customFormat="1" ht="14.25" customHeight="1">
      <c r="A12" s="174">
        <v>45565</v>
      </c>
      <c r="B12" s="315"/>
      <c r="C12" s="329"/>
      <c r="D12" s="328"/>
      <c r="E12" s="328"/>
      <c r="F12" s="328"/>
      <c r="G12" s="328"/>
      <c r="H12" s="313"/>
      <c r="I12" s="329"/>
      <c r="J12" s="328"/>
      <c r="K12" s="328"/>
      <c r="L12" s="328"/>
    </row>
    <row r="13" spans="1:12" s="330" customFormat="1" ht="13.5" customHeight="1">
      <c r="A13" s="174">
        <v>45596</v>
      </c>
      <c r="B13" s="315"/>
      <c r="C13" s="329"/>
      <c r="D13" s="328"/>
      <c r="E13" s="328"/>
      <c r="F13" s="328"/>
      <c r="G13" s="328"/>
      <c r="H13" s="313"/>
      <c r="I13" s="329"/>
      <c r="J13" s="328"/>
      <c r="K13" s="328"/>
      <c r="L13" s="328"/>
    </row>
    <row r="14" spans="1:12" s="330" customFormat="1">
      <c r="A14" s="174">
        <v>45626</v>
      </c>
      <c r="B14" s="315"/>
      <c r="C14" s="329"/>
      <c r="D14" s="328"/>
      <c r="E14" s="328"/>
      <c r="F14" s="328"/>
      <c r="G14" s="328"/>
      <c r="H14" s="313"/>
      <c r="I14" s="329"/>
      <c r="J14" s="328"/>
      <c r="K14" s="328"/>
      <c r="L14" s="328"/>
    </row>
    <row r="15" spans="1:12" s="330" customFormat="1">
      <c r="A15" s="174">
        <v>45657</v>
      </c>
      <c r="B15" s="315"/>
      <c r="C15" s="329"/>
      <c r="D15" s="328"/>
      <c r="E15" s="328"/>
      <c r="F15" s="328"/>
      <c r="G15" s="328"/>
      <c r="H15" s="313"/>
      <c r="I15" s="329"/>
      <c r="J15" s="328"/>
      <c r="K15" s="328"/>
      <c r="L15" s="328"/>
    </row>
    <row r="16" spans="1:12" s="330" customFormat="1">
      <c r="A16" s="174">
        <v>45688</v>
      </c>
      <c r="B16" s="315"/>
      <c r="C16" s="329"/>
      <c r="D16" s="328"/>
      <c r="E16" s="328"/>
      <c r="F16" s="328"/>
      <c r="G16" s="328"/>
      <c r="H16" s="313"/>
      <c r="I16" s="329"/>
      <c r="J16" s="328"/>
      <c r="K16" s="328"/>
      <c r="L16" s="328"/>
    </row>
    <row r="17" spans="1:12" s="330" customFormat="1">
      <c r="A17" s="174">
        <v>45716</v>
      </c>
      <c r="B17" s="315"/>
      <c r="C17" s="329"/>
      <c r="D17" s="328"/>
      <c r="E17" s="328"/>
      <c r="F17" s="328"/>
      <c r="G17" s="328"/>
      <c r="H17" s="313"/>
      <c r="I17" s="329"/>
      <c r="J17" s="328"/>
      <c r="K17" s="328"/>
      <c r="L17" s="328"/>
    </row>
    <row r="18" spans="1:12" s="330" customFormat="1">
      <c r="A18" s="174">
        <v>45747</v>
      </c>
      <c r="B18" s="315"/>
      <c r="C18" s="329"/>
      <c r="D18" s="328"/>
      <c r="E18" s="328"/>
      <c r="F18" s="328"/>
      <c r="G18" s="328"/>
      <c r="H18" s="313"/>
      <c r="I18" s="329"/>
      <c r="J18" s="328"/>
      <c r="K18" s="328"/>
      <c r="L18" s="328"/>
    </row>
    <row r="19" spans="1:12" s="330" customFormat="1">
      <c r="A19" s="743" t="str">
        <f>"$ indicates as on "&amp;TEXT(IF(COUNT(B7:B18)=1,A7,IF(COUNT(B7:B18)=2,A8,IF(COUNT(B7:B18)=3,A9,IF(COUNT(B7:B18)=4,A10,IF(COUNT(B7:B18)=5,A11,IF(COUNT(B7:B18)=6,A12,IF(COUNT(B7:B18)=7,A13,IF(COUNT(B7:B18)=8,A14,IF(COUNT(B7:B18)=9,A15,IF(COUNT(B7:B18)=10,A16,IF(COUNT(B7:B18)=11,A17,A18))))))))))),"mmmm dd, yyyy")</f>
        <v>$ indicates as on August 31, 2024</v>
      </c>
      <c r="B19" s="358"/>
      <c r="C19" s="132"/>
      <c r="D19" s="332"/>
      <c r="E19" s="332"/>
      <c r="F19" s="332"/>
      <c r="G19" s="332"/>
      <c r="H19" s="324"/>
      <c r="I19" s="132"/>
      <c r="J19" s="332"/>
      <c r="K19" s="332"/>
      <c r="L19" s="332"/>
    </row>
    <row r="20" spans="1:12" s="330" customFormat="1" ht="15" customHeight="1">
      <c r="A20" s="1322" t="s">
        <v>275</v>
      </c>
      <c r="B20" s="1322"/>
      <c r="C20" s="1322"/>
      <c r="D20" s="1322"/>
      <c r="E20" s="1322"/>
      <c r="F20" s="1322"/>
      <c r="G20" s="1322"/>
      <c r="H20" s="1322"/>
      <c r="I20" s="1322"/>
      <c r="J20" s="1322"/>
    </row>
    <row r="21" spans="1:12" s="330" customFormat="1" ht="15" customHeight="1">
      <c r="A21" s="419"/>
    </row>
    <row r="22" spans="1:12" s="330" customFormat="1">
      <c r="A22" s="92"/>
      <c r="B22" s="92"/>
      <c r="C22" s="92"/>
      <c r="D22" s="92"/>
      <c r="E22" s="92"/>
      <c r="F22" s="92"/>
      <c r="G22" s="92"/>
      <c r="H22" s="92"/>
      <c r="I22" s="92"/>
      <c r="J22" s="92"/>
    </row>
  </sheetData>
  <mergeCells count="15">
    <mergeCell ref="I3:I4"/>
    <mergeCell ref="J3:J4"/>
    <mergeCell ref="K3:K4"/>
    <mergeCell ref="L3:L4"/>
    <mergeCell ref="A20:J20"/>
    <mergeCell ref="A2:A4"/>
    <mergeCell ref="B2:B4"/>
    <mergeCell ref="C2:D2"/>
    <mergeCell ref="E2:H2"/>
    <mergeCell ref="I2:J2"/>
    <mergeCell ref="K2:L2"/>
    <mergeCell ref="C3:C4"/>
    <mergeCell ref="D3:D4"/>
    <mergeCell ref="E3:F3"/>
    <mergeCell ref="G3:H3"/>
  </mergeCells>
  <printOptions horizontalCentered="1"/>
  <pageMargins left="0.78431372549019618" right="0.78431372549019618" top="0.98039215686274517" bottom="0.98039215686274517" header="0.50980392156862753" footer="0.50980392156862753"/>
  <pageSetup paperSize="9" scale="88" orientation="landscape" useFirstPageNumber="1" r:id="rId1"/>
  <headerFooter alignWithMargins="0"/>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24"/>
  <sheetViews>
    <sheetView workbookViewId="0"/>
  </sheetViews>
  <sheetFormatPr defaultColWidth="9.140625" defaultRowHeight="15"/>
  <cols>
    <col min="1" max="1" width="13.5703125" style="92" bestFit="1" customWidth="1"/>
    <col min="2" max="5" width="12.140625" style="92" bestFit="1" customWidth="1"/>
    <col min="6" max="6" width="9.42578125" style="92" bestFit="1" customWidth="1"/>
    <col min="7" max="7" width="12.42578125" style="92" bestFit="1" customWidth="1"/>
    <col min="8" max="8" width="12.28515625" style="92" bestFit="1" customWidth="1"/>
    <col min="9" max="9" width="12.42578125" style="92" bestFit="1" customWidth="1"/>
    <col min="10" max="10" width="12.28515625" style="92" bestFit="1" customWidth="1"/>
    <col min="11" max="11" width="11" style="92" customWidth="1"/>
    <col min="12" max="15" width="12.140625" style="92" bestFit="1" customWidth="1"/>
    <col min="16" max="16" width="9.42578125" style="92" bestFit="1" customWidth="1"/>
    <col min="17" max="17" width="4.5703125" style="92" bestFit="1" customWidth="1"/>
    <col min="18" max="16384" width="9.140625" style="92"/>
  </cols>
  <sheetData>
    <row r="1" spans="1:16" ht="18" customHeight="1">
      <c r="A1" s="193" t="s">
        <v>564</v>
      </c>
      <c r="B1" s="193"/>
      <c r="C1" s="193"/>
      <c r="D1" s="193"/>
      <c r="E1" s="193"/>
      <c r="F1" s="193"/>
      <c r="G1" s="193"/>
      <c r="H1" s="193"/>
      <c r="I1" s="193"/>
      <c r="J1" s="193"/>
      <c r="K1" s="193"/>
      <c r="L1" s="193"/>
      <c r="M1" s="193"/>
      <c r="N1" s="193"/>
      <c r="O1" s="193"/>
    </row>
    <row r="2" spans="1:16" s="330" customFormat="1" ht="18" customHeight="1">
      <c r="A2" s="1406" t="s">
        <v>524</v>
      </c>
      <c r="B2" s="1408" t="s">
        <v>73</v>
      </c>
      <c r="C2" s="1409"/>
      <c r="D2" s="1409"/>
      <c r="E2" s="1410"/>
      <c r="F2" s="1415" t="s">
        <v>96</v>
      </c>
      <c r="G2" s="1408" t="s">
        <v>74</v>
      </c>
      <c r="H2" s="1409"/>
      <c r="I2" s="1409"/>
      <c r="J2" s="1410"/>
      <c r="K2" s="1406" t="s">
        <v>96</v>
      </c>
      <c r="L2" s="1408" t="s">
        <v>75</v>
      </c>
      <c r="M2" s="1409"/>
      <c r="N2" s="1409"/>
      <c r="O2" s="1410"/>
      <c r="P2" s="1415" t="s">
        <v>96</v>
      </c>
    </row>
    <row r="3" spans="1:16" s="330" customFormat="1" ht="27" customHeight="1">
      <c r="A3" s="1407"/>
      <c r="B3" s="1411" t="s">
        <v>549</v>
      </c>
      <c r="C3" s="1414"/>
      <c r="D3" s="1408" t="s">
        <v>556</v>
      </c>
      <c r="E3" s="1410"/>
      <c r="F3" s="1421"/>
      <c r="G3" s="1411" t="s">
        <v>549</v>
      </c>
      <c r="H3" s="1414"/>
      <c r="I3" s="1408" t="s">
        <v>556</v>
      </c>
      <c r="J3" s="1410"/>
      <c r="K3" s="1407"/>
      <c r="L3" s="1411" t="s">
        <v>565</v>
      </c>
      <c r="M3" s="1414"/>
      <c r="N3" s="1408" t="s">
        <v>556</v>
      </c>
      <c r="O3" s="1410"/>
      <c r="P3" s="1421"/>
    </row>
    <row r="4" spans="1:16" s="330" customFormat="1" ht="27" customHeight="1">
      <c r="A4" s="1314"/>
      <c r="B4" s="506" t="s">
        <v>528</v>
      </c>
      <c r="C4" s="506" t="s">
        <v>529</v>
      </c>
      <c r="D4" s="506" t="s">
        <v>531</v>
      </c>
      <c r="E4" s="506" t="s">
        <v>532</v>
      </c>
      <c r="F4" s="1329"/>
      <c r="G4" s="506" t="s">
        <v>528</v>
      </c>
      <c r="H4" s="506" t="s">
        <v>529</v>
      </c>
      <c r="I4" s="506" t="s">
        <v>531</v>
      </c>
      <c r="J4" s="506" t="s">
        <v>532</v>
      </c>
      <c r="K4" s="1314"/>
      <c r="L4" s="506" t="s">
        <v>528</v>
      </c>
      <c r="M4" s="506" t="s">
        <v>529</v>
      </c>
      <c r="N4" s="506" t="s">
        <v>531</v>
      </c>
      <c r="O4" s="506" t="s">
        <v>532</v>
      </c>
      <c r="P4" s="1329"/>
    </row>
    <row r="5" spans="1:16" s="97" customFormat="1" ht="18" customHeight="1">
      <c r="A5" s="517" t="s">
        <v>518</v>
      </c>
      <c r="B5" s="498">
        <v>6550.62</v>
      </c>
      <c r="C5" s="521">
        <v>194.57000000000002</v>
      </c>
      <c r="D5" s="498">
        <v>9296.52</v>
      </c>
      <c r="E5" s="521">
        <v>381.98000000000008</v>
      </c>
      <c r="F5" s="498">
        <v>16423.689999999999</v>
      </c>
      <c r="G5" s="498">
        <v>6645.7642925999999</v>
      </c>
      <c r="H5" s="521">
        <v>209.98746928</v>
      </c>
      <c r="I5" s="498">
        <v>2068.4298365000004</v>
      </c>
      <c r="J5" s="521">
        <v>745.28976819000002</v>
      </c>
      <c r="K5" s="498">
        <v>9669.4713665699983</v>
      </c>
      <c r="L5" s="521" t="s">
        <v>223</v>
      </c>
      <c r="M5" s="521" t="s">
        <v>223</v>
      </c>
      <c r="N5" s="521" t="s">
        <v>223</v>
      </c>
      <c r="O5" s="521" t="s">
        <v>223</v>
      </c>
      <c r="P5" s="498" t="s">
        <v>223</v>
      </c>
    </row>
    <row r="6" spans="1:16" s="97" customFormat="1" ht="18" customHeight="1">
      <c r="A6" s="199" t="s">
        <v>743</v>
      </c>
      <c r="B6" s="694">
        <f>SUM(B7:B18)</f>
        <v>1784.61</v>
      </c>
      <c r="C6" s="694">
        <f t="shared" ref="C6:K6" si="0">SUM(C7:C18)</f>
        <v>47.930000000000007</v>
      </c>
      <c r="D6" s="694">
        <f t="shared" si="0"/>
        <v>150.96000000000004</v>
      </c>
      <c r="E6" s="694">
        <f t="shared" si="0"/>
        <v>17.789999999999996</v>
      </c>
      <c r="F6" s="694">
        <f t="shared" si="0"/>
        <v>2001.2900000000002</v>
      </c>
      <c r="G6" s="694">
        <f t="shared" si="0"/>
        <v>1490.50762951</v>
      </c>
      <c r="H6" s="694">
        <f t="shared" si="0"/>
        <v>36.717470670000004</v>
      </c>
      <c r="I6" s="694">
        <f t="shared" si="0"/>
        <v>153.07907950000001</v>
      </c>
      <c r="J6" s="694">
        <f t="shared" si="0"/>
        <v>22.585389529999993</v>
      </c>
      <c r="K6" s="694">
        <f t="shared" si="0"/>
        <v>1702.88956921</v>
      </c>
      <c r="L6" s="724" t="s">
        <v>223</v>
      </c>
      <c r="M6" s="724" t="s">
        <v>223</v>
      </c>
      <c r="N6" s="724" t="s">
        <v>223</v>
      </c>
      <c r="O6" s="724" t="s">
        <v>223</v>
      </c>
      <c r="P6" s="725" t="s">
        <v>223</v>
      </c>
    </row>
    <row r="7" spans="1:16" s="330" customFormat="1" ht="18" customHeight="1">
      <c r="A7" s="174">
        <v>45412</v>
      </c>
      <c r="B7" s="314">
        <v>399.36</v>
      </c>
      <c r="C7" s="314">
        <v>2.65</v>
      </c>
      <c r="D7" s="314">
        <v>147.27000000000001</v>
      </c>
      <c r="E7" s="314">
        <v>16.29</v>
      </c>
      <c r="F7" s="328">
        <v>565.57000000000005</v>
      </c>
      <c r="G7" s="388">
        <v>290.54980611000002</v>
      </c>
      <c r="H7" s="388">
        <v>1.2335245100000001</v>
      </c>
      <c r="I7" s="388">
        <v>146.26018450000001</v>
      </c>
      <c r="J7" s="388">
        <v>17.952041999999999</v>
      </c>
      <c r="K7" s="320">
        <v>455.99555712</v>
      </c>
      <c r="L7" s="314" t="s">
        <v>223</v>
      </c>
      <c r="M7" s="314" t="s">
        <v>223</v>
      </c>
      <c r="N7" s="314" t="s">
        <v>223</v>
      </c>
      <c r="O7" s="314" t="s">
        <v>223</v>
      </c>
      <c r="P7" s="314" t="s">
        <v>223</v>
      </c>
    </row>
    <row r="8" spans="1:16" s="330" customFormat="1" ht="18" customHeight="1">
      <c r="A8" s="174">
        <v>45443</v>
      </c>
      <c r="B8" s="314">
        <v>345.68</v>
      </c>
      <c r="C8" s="314">
        <v>20.85</v>
      </c>
      <c r="D8" s="314">
        <v>2.33</v>
      </c>
      <c r="E8" s="314">
        <v>1.27</v>
      </c>
      <c r="F8" s="328">
        <v>370.13</v>
      </c>
      <c r="G8" s="314">
        <v>303.24492935000001</v>
      </c>
      <c r="H8" s="314">
        <v>18.722498999999999</v>
      </c>
      <c r="I8" s="314">
        <v>3.3531594999999998</v>
      </c>
      <c r="J8" s="314">
        <v>3.7566815</v>
      </c>
      <c r="K8" s="328">
        <v>329.07726934999999</v>
      </c>
      <c r="L8" s="314" t="s">
        <v>223</v>
      </c>
      <c r="M8" s="314" t="s">
        <v>223</v>
      </c>
      <c r="N8" s="314" t="s">
        <v>223</v>
      </c>
      <c r="O8" s="314" t="s">
        <v>223</v>
      </c>
      <c r="P8" s="314" t="s">
        <v>223</v>
      </c>
    </row>
    <row r="9" spans="1:16" s="330" customFormat="1" ht="18" customHeight="1">
      <c r="A9" s="174">
        <v>45473</v>
      </c>
      <c r="B9" s="314">
        <v>608.74</v>
      </c>
      <c r="C9" s="314">
        <v>16.010000000000002</v>
      </c>
      <c r="D9" s="314">
        <v>0.56000000000000005</v>
      </c>
      <c r="E9" s="314">
        <v>0.15</v>
      </c>
      <c r="F9" s="328">
        <v>625.46</v>
      </c>
      <c r="G9" s="314">
        <v>498.90203063000001</v>
      </c>
      <c r="H9" s="314">
        <v>11.680053770000001</v>
      </c>
      <c r="I9" s="314">
        <v>1.7202010000000001</v>
      </c>
      <c r="J9" s="314">
        <v>0.61476662999999998</v>
      </c>
      <c r="K9" s="328">
        <v>512.91705203000004</v>
      </c>
      <c r="L9" s="314" t="s">
        <v>223</v>
      </c>
      <c r="M9" s="314" t="s">
        <v>223</v>
      </c>
      <c r="N9" s="314" t="s">
        <v>223</v>
      </c>
      <c r="O9" s="314" t="s">
        <v>223</v>
      </c>
      <c r="P9" s="314" t="s">
        <v>223</v>
      </c>
    </row>
    <row r="10" spans="1:16" s="330" customFormat="1" ht="18" customHeight="1">
      <c r="A10" s="174">
        <v>45504</v>
      </c>
      <c r="B10" s="314">
        <v>183.09</v>
      </c>
      <c r="C10" s="314">
        <v>1.52</v>
      </c>
      <c r="D10" s="314">
        <v>0.49</v>
      </c>
      <c r="E10" s="314">
        <v>0.08</v>
      </c>
      <c r="F10" s="328">
        <v>185.18</v>
      </c>
      <c r="G10" s="314">
        <v>150.78474476</v>
      </c>
      <c r="H10" s="314">
        <v>1.06736437</v>
      </c>
      <c r="I10" s="314">
        <v>0.96335124999999999</v>
      </c>
      <c r="J10" s="314">
        <v>0.24519189999999999</v>
      </c>
      <c r="K10" s="328">
        <v>153.06065228</v>
      </c>
      <c r="L10" s="314" t="s">
        <v>223</v>
      </c>
      <c r="M10" s="314" t="s">
        <v>223</v>
      </c>
      <c r="N10" s="314" t="s">
        <v>223</v>
      </c>
      <c r="O10" s="314" t="s">
        <v>223</v>
      </c>
      <c r="P10" s="314" t="s">
        <v>223</v>
      </c>
    </row>
    <row r="11" spans="1:16" s="330" customFormat="1" ht="18" customHeight="1">
      <c r="A11" s="174">
        <v>45535</v>
      </c>
      <c r="B11" s="314">
        <v>247.74000000000004</v>
      </c>
      <c r="C11" s="314">
        <v>6.9</v>
      </c>
      <c r="D11" s="314">
        <v>0.31</v>
      </c>
      <c r="E11" s="314">
        <v>0</v>
      </c>
      <c r="F11" s="314">
        <v>254.95000000000002</v>
      </c>
      <c r="G11" s="314">
        <v>247.02611866000001</v>
      </c>
      <c r="H11" s="314">
        <v>4.0140290199999997</v>
      </c>
      <c r="I11" s="314">
        <v>0.78218325</v>
      </c>
      <c r="J11" s="314">
        <v>1.67075E-2</v>
      </c>
      <c r="K11" s="314">
        <v>251.83903842999999</v>
      </c>
      <c r="L11" s="314" t="s">
        <v>223</v>
      </c>
      <c r="M11" s="314" t="s">
        <v>223</v>
      </c>
      <c r="N11" s="314" t="s">
        <v>223</v>
      </c>
      <c r="O11" s="314" t="s">
        <v>223</v>
      </c>
      <c r="P11" s="314" t="s">
        <v>223</v>
      </c>
    </row>
    <row r="12" spans="1:16" s="330" customFormat="1">
      <c r="A12" s="174">
        <v>45565</v>
      </c>
      <c r="B12" s="314"/>
      <c r="C12" s="314"/>
      <c r="D12" s="314"/>
      <c r="E12" s="314"/>
      <c r="F12" s="328"/>
      <c r="G12" s="314"/>
      <c r="H12" s="314"/>
      <c r="I12" s="314"/>
      <c r="J12" s="314"/>
      <c r="K12" s="328"/>
      <c r="L12" s="314"/>
      <c r="M12" s="314"/>
      <c r="N12" s="314"/>
      <c r="O12" s="314"/>
      <c r="P12" s="314"/>
    </row>
    <row r="13" spans="1:16" s="330" customFormat="1" ht="13.5" customHeight="1">
      <c r="A13" s="174">
        <v>45596</v>
      </c>
      <c r="B13" s="314"/>
      <c r="C13" s="314"/>
      <c r="D13" s="314"/>
      <c r="E13" s="314"/>
      <c r="F13" s="328"/>
      <c r="G13" s="314"/>
      <c r="H13" s="314"/>
      <c r="I13" s="314"/>
      <c r="J13" s="314"/>
      <c r="K13" s="328"/>
      <c r="L13" s="314"/>
      <c r="M13" s="314"/>
      <c r="N13" s="314"/>
      <c r="O13" s="314"/>
      <c r="P13" s="314"/>
    </row>
    <row r="14" spans="1:16" s="330" customFormat="1">
      <c r="A14" s="174">
        <v>45626</v>
      </c>
      <c r="B14" s="314"/>
      <c r="C14" s="314"/>
      <c r="D14" s="314"/>
      <c r="E14" s="314"/>
      <c r="F14" s="328"/>
      <c r="G14" s="314"/>
      <c r="H14" s="314"/>
      <c r="I14" s="314"/>
      <c r="J14" s="314"/>
      <c r="K14" s="328"/>
      <c r="L14" s="314"/>
      <c r="M14" s="314"/>
      <c r="N14" s="314"/>
      <c r="O14" s="314"/>
      <c r="P14" s="314"/>
    </row>
    <row r="15" spans="1:16" s="330" customFormat="1">
      <c r="A15" s="174">
        <v>45657</v>
      </c>
      <c r="B15" s="314"/>
      <c r="C15" s="314"/>
      <c r="D15" s="314"/>
      <c r="E15" s="314"/>
      <c r="F15" s="328"/>
      <c r="G15" s="314"/>
      <c r="H15" s="314"/>
      <c r="I15" s="314"/>
      <c r="J15" s="314"/>
      <c r="K15" s="328"/>
      <c r="L15" s="314"/>
      <c r="M15" s="314"/>
      <c r="N15" s="314"/>
      <c r="O15" s="314"/>
      <c r="P15" s="314"/>
    </row>
    <row r="16" spans="1:16" s="330" customFormat="1">
      <c r="A16" s="174">
        <v>45688</v>
      </c>
      <c r="B16" s="314"/>
      <c r="C16" s="314"/>
      <c r="D16" s="314"/>
      <c r="E16" s="314"/>
      <c r="F16" s="328"/>
      <c r="G16" s="314"/>
      <c r="H16" s="314"/>
      <c r="I16" s="314"/>
      <c r="J16" s="314"/>
      <c r="K16" s="328"/>
      <c r="L16" s="314"/>
      <c r="M16" s="314"/>
      <c r="N16" s="314"/>
      <c r="O16" s="314"/>
      <c r="P16" s="314"/>
    </row>
    <row r="17" spans="1:17" s="330" customFormat="1">
      <c r="A17" s="174">
        <v>45716</v>
      </c>
      <c r="B17" s="314"/>
      <c r="C17" s="314"/>
      <c r="D17" s="314"/>
      <c r="E17" s="314"/>
      <c r="F17" s="328"/>
      <c r="G17" s="314"/>
      <c r="H17" s="314"/>
      <c r="I17" s="314"/>
      <c r="J17" s="314"/>
      <c r="K17" s="328"/>
      <c r="L17" s="314"/>
      <c r="M17" s="314"/>
      <c r="N17" s="314"/>
      <c r="O17" s="314"/>
      <c r="P17" s="314"/>
    </row>
    <row r="18" spans="1:17" s="330" customFormat="1">
      <c r="A18" s="174">
        <v>45747</v>
      </c>
      <c r="B18" s="327"/>
      <c r="C18" s="327"/>
      <c r="D18" s="327"/>
      <c r="E18" s="327"/>
      <c r="F18" s="347"/>
      <c r="G18" s="348"/>
      <c r="H18" s="349"/>
      <c r="I18" s="349"/>
      <c r="J18" s="350"/>
      <c r="K18" s="350"/>
      <c r="L18" s="314"/>
      <c r="M18" s="314"/>
      <c r="N18" s="314"/>
      <c r="O18" s="314"/>
      <c r="P18" s="314"/>
    </row>
    <row r="19" spans="1:17" s="330" customFormat="1">
      <c r="A19" s="743" t="str">
        <f>"$ indicates as on "&amp;TEXT(IF(COUNT(B7:B18)=1,A7,IF(COUNT(B7:B18)=2,A8,IF(COUNT(B7:B18)=3,A9,IF(COUNT(B7:B18)=4,A10,IF(COUNT(B7:B18)=5,A11,IF(COUNT(B7:B18)=6,A12,IF(COUNT(B7:B18)=7,A13,IF(COUNT(B7:B18)=8,A14,IF(COUNT(B7:B18)=9,A15,IF(COUNT(B7:B18)=10,A16,IF(COUNT(B7:B18)=11,A17,A18))))))))))),"mmmm dd, yyyy")</f>
        <v>$ indicates as on August 31, 2024</v>
      </c>
      <c r="B19" s="139"/>
      <c r="C19" s="139"/>
      <c r="D19" s="139"/>
      <c r="E19" s="139"/>
      <c r="F19" s="332"/>
      <c r="G19" s="139"/>
      <c r="H19" s="139"/>
      <c r="I19" s="139"/>
      <c r="J19" s="139"/>
      <c r="K19" s="332"/>
      <c r="L19" s="139"/>
      <c r="M19" s="139"/>
      <c r="N19" s="139"/>
      <c r="O19" s="139"/>
      <c r="P19" s="139"/>
    </row>
    <row r="20" spans="1:17" s="330" customFormat="1" ht="15" customHeight="1">
      <c r="A20" s="1322" t="s">
        <v>169</v>
      </c>
      <c r="B20" s="1322"/>
      <c r="C20" s="1322"/>
      <c r="D20" s="1322"/>
      <c r="E20" s="1322"/>
      <c r="F20" s="1322"/>
      <c r="G20" s="1322"/>
      <c r="H20" s="1322"/>
      <c r="I20" s="1322"/>
      <c r="J20" s="1322"/>
      <c r="K20" s="1322"/>
      <c r="L20" s="1322"/>
      <c r="M20" s="1322"/>
      <c r="N20" s="1322"/>
      <c r="O20" s="1322"/>
    </row>
    <row r="21" spans="1:17" s="330" customFormat="1" ht="15" customHeight="1">
      <c r="A21" s="92" t="s">
        <v>833</v>
      </c>
      <c r="B21" s="323"/>
      <c r="C21" s="323"/>
      <c r="D21" s="323"/>
      <c r="E21" s="323"/>
      <c r="F21" s="323"/>
      <c r="G21" s="323"/>
      <c r="H21" s="323"/>
      <c r="I21" s="323"/>
      <c r="J21" s="323"/>
      <c r="K21" s="323"/>
      <c r="L21" s="323"/>
      <c r="M21" s="323"/>
      <c r="N21" s="323"/>
      <c r="O21" s="323"/>
    </row>
    <row r="22" spans="1:17">
      <c r="A22" s="419"/>
      <c r="P22" s="323"/>
    </row>
    <row r="23" spans="1:17">
      <c r="B23" s="323"/>
      <c r="C23" s="323"/>
      <c r="D23" s="323"/>
      <c r="E23" s="323"/>
      <c r="F23" s="323"/>
      <c r="G23" s="323"/>
      <c r="H23" s="323"/>
      <c r="I23" s="323"/>
      <c r="J23" s="323"/>
      <c r="K23" s="323"/>
      <c r="L23" s="323"/>
      <c r="M23" s="323"/>
      <c r="N23" s="323"/>
      <c r="O23" s="323"/>
    </row>
    <row r="24" spans="1:17">
      <c r="P24" s="323"/>
      <c r="Q24" s="323"/>
    </row>
  </sheetData>
  <mergeCells count="14">
    <mergeCell ref="A20:O20"/>
    <mergeCell ref="P2:P4"/>
    <mergeCell ref="B3:C3"/>
    <mergeCell ref="D3:E3"/>
    <mergeCell ref="G3:H3"/>
    <mergeCell ref="I3:J3"/>
    <mergeCell ref="L3:M3"/>
    <mergeCell ref="N3:O3"/>
    <mergeCell ref="A2:A4"/>
    <mergeCell ref="B2:E2"/>
    <mergeCell ref="F2:F4"/>
    <mergeCell ref="G2:J2"/>
    <mergeCell ref="K2:K4"/>
    <mergeCell ref="L2:O2"/>
  </mergeCells>
  <printOptions horizontalCentered="1"/>
  <pageMargins left="0.78431372549019618" right="0.78431372549019618" top="0.98039215686274517" bottom="0.98039215686274517" header="0.50980392156862753" footer="0.50980392156862753"/>
  <pageSetup paperSize="9" scale="66" orientation="landscape" useFirstPageNumber="1" r:id="rId1"/>
  <headerFooter alignWithMargins="0"/>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23"/>
  <sheetViews>
    <sheetView workbookViewId="0"/>
  </sheetViews>
  <sheetFormatPr defaultColWidth="9.140625" defaultRowHeight="15"/>
  <cols>
    <col min="1" max="9" width="12.140625" style="92" customWidth="1"/>
    <col min="10" max="15" width="12.140625" style="92" bestFit="1" customWidth="1"/>
    <col min="16" max="16" width="4.5703125" style="92" bestFit="1" customWidth="1"/>
    <col min="17" max="16384" width="9.140625" style="92"/>
  </cols>
  <sheetData>
    <row r="1" spans="1:15">
      <c r="A1" s="193" t="s">
        <v>566</v>
      </c>
      <c r="B1" s="193"/>
      <c r="C1" s="193"/>
      <c r="D1" s="193"/>
      <c r="E1" s="193"/>
      <c r="F1" s="193"/>
      <c r="G1" s="193"/>
      <c r="H1" s="193"/>
      <c r="I1" s="193"/>
    </row>
    <row r="2" spans="1:15" s="330" customFormat="1" ht="18" customHeight="1">
      <c r="A2" s="1415" t="s">
        <v>170</v>
      </c>
      <c r="B2" s="1416" t="s">
        <v>562</v>
      </c>
      <c r="C2" s="1417"/>
      <c r="D2" s="1417"/>
      <c r="E2" s="1417"/>
      <c r="F2" s="1417"/>
      <c r="G2" s="1417"/>
      <c r="H2" s="1418"/>
      <c r="I2" s="1416" t="s">
        <v>567</v>
      </c>
      <c r="J2" s="1417"/>
      <c r="K2" s="1417"/>
      <c r="L2" s="1417"/>
      <c r="M2" s="1417"/>
      <c r="N2" s="1417"/>
      <c r="O2" s="1418"/>
    </row>
    <row r="3" spans="1:15" s="330" customFormat="1" ht="18" customHeight="1">
      <c r="A3" s="1329"/>
      <c r="B3" s="508" t="s">
        <v>568</v>
      </c>
      <c r="C3" s="508" t="s">
        <v>569</v>
      </c>
      <c r="D3" s="508" t="s">
        <v>570</v>
      </c>
      <c r="E3" s="508" t="s">
        <v>571</v>
      </c>
      <c r="F3" s="508" t="s">
        <v>572</v>
      </c>
      <c r="G3" s="508" t="s">
        <v>573</v>
      </c>
      <c r="H3" s="508" t="s">
        <v>574</v>
      </c>
      <c r="I3" s="508" t="s">
        <v>568</v>
      </c>
      <c r="J3" s="508" t="s">
        <v>569</v>
      </c>
      <c r="K3" s="508" t="s">
        <v>570</v>
      </c>
      <c r="L3" s="508" t="s">
        <v>571</v>
      </c>
      <c r="M3" s="508" t="s">
        <v>572</v>
      </c>
      <c r="N3" s="508" t="s">
        <v>573</v>
      </c>
      <c r="O3" s="508" t="s">
        <v>574</v>
      </c>
    </row>
    <row r="4" spans="1:15" s="97" customFormat="1" ht="18" customHeight="1">
      <c r="A4" s="679" t="s">
        <v>518</v>
      </c>
      <c r="B4" s="494">
        <v>2288114.5998154995</v>
      </c>
      <c r="C4" s="498">
        <v>14552.657838250001</v>
      </c>
      <c r="D4" s="498">
        <v>34351.92843475</v>
      </c>
      <c r="E4" s="498">
        <v>8795.9715429999997</v>
      </c>
      <c r="F4" s="498">
        <v>8.7103064999999993E-2</v>
      </c>
      <c r="G4" s="498">
        <v>0</v>
      </c>
      <c r="H4" s="498">
        <v>8.4343625000000005E-2</v>
      </c>
      <c r="I4" s="522">
        <v>1146547</v>
      </c>
      <c r="J4" s="523">
        <v>1361</v>
      </c>
      <c r="K4" s="523">
        <v>7470</v>
      </c>
      <c r="L4" s="523">
        <v>3407</v>
      </c>
      <c r="M4" s="524">
        <v>0</v>
      </c>
      <c r="N4" s="524">
        <v>0</v>
      </c>
      <c r="O4" s="524">
        <v>0</v>
      </c>
    </row>
    <row r="5" spans="1:15" s="97" customFormat="1" ht="18" customHeight="1">
      <c r="A5" s="682" t="s">
        <v>743</v>
      </c>
      <c r="B5" s="525">
        <f>SUM(B6:B17)</f>
        <v>30839.656930499998</v>
      </c>
      <c r="C5" s="525">
        <f t="shared" ref="C5:H5" si="0">SUM(C6:C17)</f>
        <v>109.8955505</v>
      </c>
      <c r="D5" s="525">
        <f t="shared" si="0"/>
        <v>130.21486200000001</v>
      </c>
      <c r="E5" s="525">
        <f t="shared" si="0"/>
        <v>42.435428000000002</v>
      </c>
      <c r="F5" s="223">
        <f t="shared" si="0"/>
        <v>0</v>
      </c>
      <c r="G5" s="223">
        <f t="shared" si="0"/>
        <v>0</v>
      </c>
      <c r="H5" s="223">
        <f t="shared" si="0"/>
        <v>0</v>
      </c>
      <c r="I5" s="223">
        <f t="shared" ref="I5:O5" si="1">INDEX(I6:I17,COUNT(I6:I17))</f>
        <v>514</v>
      </c>
      <c r="J5" s="223">
        <f t="shared" si="1"/>
        <v>0</v>
      </c>
      <c r="K5" s="223">
        <f t="shared" si="1"/>
        <v>0</v>
      </c>
      <c r="L5" s="223">
        <f t="shared" si="1"/>
        <v>0</v>
      </c>
      <c r="M5" s="223">
        <f t="shared" si="1"/>
        <v>0</v>
      </c>
      <c r="N5" s="223">
        <f t="shared" si="1"/>
        <v>0</v>
      </c>
      <c r="O5" s="223">
        <f t="shared" si="1"/>
        <v>0</v>
      </c>
    </row>
    <row r="6" spans="1:15" s="330" customFormat="1">
      <c r="A6" s="174">
        <v>45412</v>
      </c>
      <c r="B6" s="328">
        <v>26383.751637249999</v>
      </c>
      <c r="C6" s="328">
        <v>109.8955505</v>
      </c>
      <c r="D6" s="328">
        <v>130.21486200000001</v>
      </c>
      <c r="E6" s="328">
        <v>42.435428000000002</v>
      </c>
      <c r="F6" s="328">
        <v>0</v>
      </c>
      <c r="G6" s="328">
        <v>0</v>
      </c>
      <c r="H6" s="328">
        <v>0</v>
      </c>
      <c r="I6" s="329">
        <v>252110</v>
      </c>
      <c r="J6" s="328">
        <v>17</v>
      </c>
      <c r="K6" s="328">
        <v>548</v>
      </c>
      <c r="L6" s="328">
        <v>10</v>
      </c>
      <c r="M6" s="315">
        <v>0</v>
      </c>
      <c r="N6" s="315">
        <v>0</v>
      </c>
      <c r="O6" s="315">
        <v>0</v>
      </c>
    </row>
    <row r="7" spans="1:15" s="330" customFormat="1">
      <c r="A7" s="174">
        <v>45443</v>
      </c>
      <c r="B7" s="328">
        <v>2011.5061392499999</v>
      </c>
      <c r="C7" s="328">
        <v>0</v>
      </c>
      <c r="D7" s="328">
        <v>0</v>
      </c>
      <c r="E7" s="328">
        <v>0</v>
      </c>
      <c r="F7" s="328">
        <v>0</v>
      </c>
      <c r="G7" s="328">
        <v>0</v>
      </c>
      <c r="H7" s="328">
        <v>0</v>
      </c>
      <c r="I7" s="328">
        <v>9076</v>
      </c>
      <c r="J7" s="328">
        <v>0</v>
      </c>
      <c r="K7" s="328">
        <v>0</v>
      </c>
      <c r="L7" s="328">
        <v>0</v>
      </c>
      <c r="M7" s="315">
        <v>0</v>
      </c>
      <c r="N7" s="315">
        <v>0</v>
      </c>
      <c r="O7" s="315">
        <v>0</v>
      </c>
    </row>
    <row r="8" spans="1:15" s="330" customFormat="1">
      <c r="A8" s="174">
        <v>45473</v>
      </c>
      <c r="B8" s="328">
        <v>2268.5628320000001</v>
      </c>
      <c r="C8" s="328">
        <v>0</v>
      </c>
      <c r="D8" s="328">
        <v>0</v>
      </c>
      <c r="E8" s="328">
        <v>0</v>
      </c>
      <c r="F8" s="328">
        <v>0</v>
      </c>
      <c r="G8" s="328">
        <v>0</v>
      </c>
      <c r="H8" s="328">
        <v>0</v>
      </c>
      <c r="I8" s="328">
        <v>45810</v>
      </c>
      <c r="J8" s="328">
        <v>0</v>
      </c>
      <c r="K8" s="328">
        <v>0</v>
      </c>
      <c r="L8" s="328">
        <v>0</v>
      </c>
      <c r="M8" s="328">
        <v>0</v>
      </c>
      <c r="N8" s="328">
        <v>0</v>
      </c>
      <c r="O8" s="328">
        <v>0</v>
      </c>
    </row>
    <row r="9" spans="1:15" s="330" customFormat="1">
      <c r="A9" s="174">
        <v>45504</v>
      </c>
      <c r="B9" s="328">
        <v>175.826322</v>
      </c>
      <c r="C9" s="328">
        <v>0</v>
      </c>
      <c r="D9" s="328">
        <v>0</v>
      </c>
      <c r="E9" s="328">
        <v>0</v>
      </c>
      <c r="F9" s="328">
        <v>0</v>
      </c>
      <c r="G9" s="328">
        <v>0</v>
      </c>
      <c r="H9" s="328">
        <v>0</v>
      </c>
      <c r="I9" s="328">
        <v>535</v>
      </c>
      <c r="J9" s="328">
        <v>0</v>
      </c>
      <c r="K9" s="328">
        <v>0</v>
      </c>
      <c r="L9" s="328">
        <v>0</v>
      </c>
      <c r="M9" s="328">
        <v>0</v>
      </c>
      <c r="N9" s="328">
        <v>0</v>
      </c>
      <c r="O9" s="328">
        <v>0</v>
      </c>
    </row>
    <row r="10" spans="1:15" s="330" customFormat="1">
      <c r="A10" s="174">
        <v>45535</v>
      </c>
      <c r="B10" s="328">
        <v>0.01</v>
      </c>
      <c r="C10" s="328">
        <v>0</v>
      </c>
      <c r="D10" s="328">
        <v>0</v>
      </c>
      <c r="E10" s="328">
        <v>0</v>
      </c>
      <c r="F10" s="328">
        <v>0</v>
      </c>
      <c r="G10" s="328">
        <v>0</v>
      </c>
      <c r="H10" s="328">
        <v>0</v>
      </c>
      <c r="I10" s="328">
        <v>514</v>
      </c>
      <c r="J10" s="328">
        <v>0</v>
      </c>
      <c r="K10" s="328">
        <v>0</v>
      </c>
      <c r="L10" s="328">
        <v>0</v>
      </c>
      <c r="M10" s="328">
        <v>0</v>
      </c>
      <c r="N10" s="328">
        <v>0</v>
      </c>
      <c r="O10" s="328">
        <v>0</v>
      </c>
    </row>
    <row r="11" spans="1:15" s="330" customFormat="1">
      <c r="A11" s="174">
        <v>45565</v>
      </c>
      <c r="B11" s="329"/>
      <c r="C11" s="328"/>
      <c r="D11" s="328"/>
      <c r="E11" s="328"/>
      <c r="F11" s="328"/>
      <c r="G11" s="328"/>
      <c r="H11" s="328"/>
      <c r="I11" s="329"/>
      <c r="J11" s="328"/>
      <c r="K11" s="328"/>
      <c r="L11" s="328"/>
      <c r="M11" s="315"/>
      <c r="N11" s="315"/>
      <c r="O11" s="315"/>
    </row>
    <row r="12" spans="1:15" s="330" customFormat="1">
      <c r="A12" s="174">
        <v>45596</v>
      </c>
      <c r="B12" s="329"/>
      <c r="C12" s="328"/>
      <c r="D12" s="328"/>
      <c r="E12" s="328"/>
      <c r="F12" s="328"/>
      <c r="G12" s="328"/>
      <c r="H12" s="328"/>
      <c r="I12" s="329"/>
      <c r="J12" s="328"/>
      <c r="K12" s="328"/>
      <c r="L12" s="328"/>
      <c r="M12" s="315"/>
      <c r="N12" s="315"/>
      <c r="O12" s="315"/>
    </row>
    <row r="13" spans="1:15" s="330" customFormat="1">
      <c r="A13" s="174">
        <v>45626</v>
      </c>
      <c r="B13" s="256"/>
      <c r="C13" s="328"/>
      <c r="D13" s="328"/>
      <c r="E13" s="328"/>
      <c r="F13" s="328"/>
      <c r="G13" s="328"/>
      <c r="H13" s="328"/>
      <c r="I13" s="329"/>
      <c r="J13" s="328"/>
      <c r="K13" s="328"/>
      <c r="L13" s="328"/>
      <c r="M13" s="315"/>
      <c r="N13" s="315"/>
      <c r="O13" s="315"/>
    </row>
    <row r="14" spans="1:15" s="330" customFormat="1">
      <c r="A14" s="174">
        <v>45657</v>
      </c>
      <c r="B14" s="329"/>
      <c r="C14" s="328"/>
      <c r="D14" s="328"/>
      <c r="E14" s="328"/>
      <c r="F14" s="328"/>
      <c r="G14" s="328"/>
      <c r="H14" s="328"/>
      <c r="I14" s="329"/>
      <c r="J14" s="328"/>
      <c r="K14" s="328"/>
      <c r="L14" s="328"/>
      <c r="M14" s="315"/>
      <c r="N14" s="315"/>
      <c r="O14" s="315"/>
    </row>
    <row r="15" spans="1:15" s="330" customFormat="1">
      <c r="A15" s="174">
        <v>45688</v>
      </c>
      <c r="B15" s="329"/>
      <c r="C15" s="328"/>
      <c r="D15" s="328"/>
      <c r="E15" s="328"/>
      <c r="F15" s="328"/>
      <c r="G15" s="328"/>
      <c r="H15" s="328"/>
      <c r="I15" s="329"/>
      <c r="J15" s="328"/>
      <c r="K15" s="328"/>
      <c r="L15" s="328"/>
      <c r="M15" s="315"/>
      <c r="N15" s="315"/>
      <c r="O15" s="315"/>
    </row>
    <row r="16" spans="1:15" s="330" customFormat="1">
      <c r="A16" s="174">
        <v>45716</v>
      </c>
      <c r="B16" s="329"/>
      <c r="C16" s="328"/>
      <c r="D16" s="328"/>
      <c r="E16" s="328"/>
      <c r="F16" s="328"/>
      <c r="G16" s="328"/>
      <c r="H16" s="328"/>
      <c r="I16" s="329"/>
      <c r="J16" s="328"/>
      <c r="K16" s="328"/>
      <c r="L16" s="328"/>
      <c r="M16" s="315"/>
      <c r="N16" s="315"/>
      <c r="O16" s="315"/>
    </row>
    <row r="17" spans="1:15" s="330" customFormat="1">
      <c r="A17" s="174">
        <v>45747</v>
      </c>
      <c r="B17" s="329"/>
      <c r="C17" s="328"/>
      <c r="D17" s="328"/>
      <c r="E17" s="328"/>
      <c r="F17" s="328"/>
      <c r="G17" s="328"/>
      <c r="H17" s="328"/>
      <c r="I17" s="329"/>
      <c r="J17" s="328"/>
      <c r="K17" s="328"/>
      <c r="L17" s="328"/>
      <c r="M17" s="315"/>
      <c r="N17" s="315"/>
      <c r="O17" s="315"/>
    </row>
    <row r="18" spans="1:15" s="330" customFormat="1">
      <c r="A18" s="743" t="str">
        <f>"$ indicates as on "&amp;TEXT(IF(COUNT(B6:B17)=1,A6,IF(COUNT(B6:B17)=2,A7,IF(COUNT(B6:B17)=3,A8,IF(COUNT(B6:B17)=4,A9,IF(COUNT(B6:B17)=5,A10,IF(COUNT(B6:B17)=6,A11,IF(COUNT(B6:B17)=7,A12,IF(COUNT(B6:B17)=8,A13,IF(COUNT(B6:B17)=9,A14,IF(COUNT(B6:B17)=10,A15,IF(COUNT(B6:B17)=11,A16,A17))))))))))),"mmmm dd, yyyy")</f>
        <v>$ indicates as on August 31, 2024</v>
      </c>
      <c r="B18" s="565"/>
      <c r="C18" s="565"/>
      <c r="D18" s="565"/>
      <c r="E18" s="565"/>
      <c r="F18" s="565"/>
      <c r="G18" s="565"/>
      <c r="H18" s="565"/>
      <c r="I18" s="565"/>
    </row>
    <row r="19" spans="1:15" s="330" customFormat="1" ht="15" customHeight="1">
      <c r="A19" s="1322" t="s">
        <v>257</v>
      </c>
      <c r="B19" s="1322"/>
      <c r="C19" s="1322"/>
      <c r="D19" s="1322"/>
      <c r="E19" s="1322"/>
      <c r="F19" s="1322"/>
      <c r="G19" s="1322"/>
      <c r="H19" s="1322"/>
      <c r="I19" s="1322"/>
    </row>
    <row r="20" spans="1:15" s="330" customFormat="1" ht="15" customHeight="1">
      <c r="A20" s="419"/>
      <c r="B20" s="133"/>
      <c r="C20" s="133"/>
      <c r="D20" s="133"/>
      <c r="E20" s="133"/>
      <c r="F20" s="133"/>
      <c r="G20" s="133"/>
      <c r="H20" s="133"/>
      <c r="I20" s="133"/>
    </row>
    <row r="21" spans="1:15" s="330" customFormat="1">
      <c r="A21" s="92"/>
      <c r="B21" s="137"/>
      <c r="C21" s="137"/>
      <c r="D21" s="137"/>
      <c r="E21" s="92"/>
      <c r="F21" s="137"/>
      <c r="G21" s="137"/>
      <c r="H21" s="137"/>
      <c r="I21" s="137"/>
      <c r="J21" s="133"/>
      <c r="K21" s="133"/>
      <c r="L21" s="133"/>
      <c r="M21" s="133"/>
      <c r="N21" s="133"/>
      <c r="O21" s="133"/>
    </row>
    <row r="22" spans="1:15">
      <c r="B22" s="137"/>
      <c r="C22" s="137"/>
      <c r="D22" s="137"/>
      <c r="E22" s="137"/>
      <c r="F22" s="137"/>
      <c r="G22" s="137"/>
      <c r="J22" s="137"/>
      <c r="K22" s="137"/>
      <c r="L22" s="137"/>
      <c r="M22" s="137"/>
      <c r="N22" s="137"/>
      <c r="O22" s="137"/>
    </row>
    <row r="23" spans="1:15">
      <c r="G23" s="137"/>
    </row>
  </sheetData>
  <mergeCells count="4">
    <mergeCell ref="A2:A3"/>
    <mergeCell ref="B2:H2"/>
    <mergeCell ref="I2:O2"/>
    <mergeCell ref="A19:I19"/>
  </mergeCells>
  <printOptions horizontalCentered="1"/>
  <pageMargins left="0.78431372549019618" right="0.78431372549019618" top="0.98039215686274517" bottom="0.98039215686274517" header="0.50980392156862753" footer="0.50980392156862753"/>
  <pageSetup paperSize="9" scale="70" fitToHeight="0" orientation="landscape" useFirstPageNumber="1" r:id="rId1"/>
  <headerFooter alignWithMargins="0"/>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25"/>
  <sheetViews>
    <sheetView workbookViewId="0"/>
  </sheetViews>
  <sheetFormatPr defaultColWidth="9.140625" defaultRowHeight="15"/>
  <cols>
    <col min="1" max="15" width="14.5703125" style="92" bestFit="1" customWidth="1"/>
    <col min="16" max="16" width="4.5703125" style="92" bestFit="1" customWidth="1"/>
    <col min="17" max="16384" width="9.140625" style="92"/>
  </cols>
  <sheetData>
    <row r="1" spans="1:15" ht="18.75" customHeight="1">
      <c r="A1" s="193" t="s">
        <v>575</v>
      </c>
      <c r="B1" s="193"/>
      <c r="C1" s="193"/>
      <c r="D1" s="193"/>
      <c r="E1" s="193"/>
      <c r="F1" s="193"/>
      <c r="G1" s="193"/>
    </row>
    <row r="2" spans="1:15" s="330" customFormat="1" ht="18" customHeight="1">
      <c r="A2" s="1415" t="s">
        <v>170</v>
      </c>
      <c r="B2" s="1416" t="s">
        <v>576</v>
      </c>
      <c r="C2" s="1417"/>
      <c r="D2" s="1417"/>
      <c r="E2" s="1417"/>
      <c r="F2" s="1417"/>
      <c r="G2" s="1417"/>
      <c r="H2" s="1418"/>
      <c r="I2" s="1416" t="s">
        <v>577</v>
      </c>
      <c r="J2" s="1417"/>
      <c r="K2" s="1417"/>
      <c r="L2" s="1417"/>
      <c r="M2" s="1417"/>
      <c r="N2" s="1417"/>
      <c r="O2" s="1418"/>
    </row>
    <row r="3" spans="1:15" s="330" customFormat="1" ht="18" customHeight="1">
      <c r="A3" s="1329"/>
      <c r="B3" s="508" t="s">
        <v>568</v>
      </c>
      <c r="C3" s="508" t="s">
        <v>569</v>
      </c>
      <c r="D3" s="508" t="s">
        <v>570</v>
      </c>
      <c r="E3" s="508" t="s">
        <v>571</v>
      </c>
      <c r="F3" s="508" t="s">
        <v>572</v>
      </c>
      <c r="G3" s="508" t="s">
        <v>573</v>
      </c>
      <c r="H3" s="508" t="s">
        <v>574</v>
      </c>
      <c r="I3" s="508" t="s">
        <v>568</v>
      </c>
      <c r="J3" s="508" t="s">
        <v>569</v>
      </c>
      <c r="K3" s="508" t="s">
        <v>570</v>
      </c>
      <c r="L3" s="508" t="s">
        <v>571</v>
      </c>
      <c r="M3" s="508" t="s">
        <v>572</v>
      </c>
      <c r="N3" s="508" t="s">
        <v>573</v>
      </c>
      <c r="O3" s="508" t="s">
        <v>574</v>
      </c>
    </row>
    <row r="4" spans="1:15" s="97" customFormat="1" ht="18" customHeight="1">
      <c r="A4" s="679" t="s">
        <v>518</v>
      </c>
      <c r="B4" s="519">
        <v>33624479.010000005</v>
      </c>
      <c r="C4" s="494">
        <v>482803.10000000003</v>
      </c>
      <c r="D4" s="494">
        <v>887082.6</v>
      </c>
      <c r="E4" s="494">
        <v>142697.10999999999</v>
      </c>
      <c r="F4" s="498">
        <v>3473.4500000000003</v>
      </c>
      <c r="G4" s="498">
        <v>2765.37</v>
      </c>
      <c r="H4" s="498">
        <v>737.5100000000001</v>
      </c>
      <c r="I4" s="519">
        <v>17252112</v>
      </c>
      <c r="J4" s="494">
        <v>158115</v>
      </c>
      <c r="K4" s="494">
        <v>260489</v>
      </c>
      <c r="L4" s="498">
        <v>133270</v>
      </c>
      <c r="M4" s="498">
        <v>306</v>
      </c>
      <c r="N4" s="498">
        <v>373</v>
      </c>
      <c r="O4" s="498">
        <v>38</v>
      </c>
    </row>
    <row r="5" spans="1:15" s="97" customFormat="1" ht="18" customHeight="1">
      <c r="A5" s="682" t="s">
        <v>743</v>
      </c>
      <c r="B5" s="525">
        <f>SUM(B6:B17)</f>
        <v>724529.47</v>
      </c>
      <c r="C5" s="525">
        <f t="shared" ref="C5:H5" si="0">SUM(C6:C17)</f>
        <v>9704.0999999999985</v>
      </c>
      <c r="D5" s="525">
        <f t="shared" si="0"/>
        <v>15096.210000000001</v>
      </c>
      <c r="E5" s="525">
        <f t="shared" si="0"/>
        <v>2585.46</v>
      </c>
      <c r="F5" s="525">
        <f>SUM(F6:F17)</f>
        <v>798.7</v>
      </c>
      <c r="G5" s="525">
        <f t="shared" si="0"/>
        <v>939.52</v>
      </c>
      <c r="H5" s="525">
        <f t="shared" si="0"/>
        <v>73.460000000000008</v>
      </c>
      <c r="I5" s="223">
        <f t="shared" ref="I5:O5" si="1">INDEX(I6:I17,COUNT(I6:I17))</f>
        <v>1804916</v>
      </c>
      <c r="J5" s="223">
        <f t="shared" si="1"/>
        <v>45010</v>
      </c>
      <c r="K5" s="223">
        <f t="shared" si="1"/>
        <v>58613</v>
      </c>
      <c r="L5" s="223">
        <f t="shared" si="1"/>
        <v>2713</v>
      </c>
      <c r="M5" s="223">
        <f t="shared" si="1"/>
        <v>1760</v>
      </c>
      <c r="N5" s="223">
        <f t="shared" si="1"/>
        <v>1509</v>
      </c>
      <c r="O5" s="223">
        <f t="shared" si="1"/>
        <v>301</v>
      </c>
    </row>
    <row r="6" spans="1:15" s="330" customFormat="1">
      <c r="A6" s="174">
        <v>45412</v>
      </c>
      <c r="B6" s="329">
        <v>354714.26</v>
      </c>
      <c r="C6" s="328">
        <v>5457.25</v>
      </c>
      <c r="D6" s="328">
        <v>9130.51</v>
      </c>
      <c r="E6" s="328">
        <v>1761.07</v>
      </c>
      <c r="F6" s="328">
        <v>120.69</v>
      </c>
      <c r="G6" s="328">
        <v>427.2</v>
      </c>
      <c r="H6" s="328">
        <v>15.61</v>
      </c>
      <c r="I6" s="328">
        <v>4135879</v>
      </c>
      <c r="J6" s="328">
        <v>22073</v>
      </c>
      <c r="K6" s="328">
        <v>15433</v>
      </c>
      <c r="L6" s="328">
        <v>10464</v>
      </c>
      <c r="M6" s="328">
        <v>1904</v>
      </c>
      <c r="N6" s="328">
        <v>19090</v>
      </c>
      <c r="O6" s="328">
        <v>318</v>
      </c>
    </row>
    <row r="7" spans="1:15" s="330" customFormat="1">
      <c r="A7" s="174">
        <v>45443</v>
      </c>
      <c r="B7" s="329">
        <v>108114.93</v>
      </c>
      <c r="C7" s="328">
        <v>1005.53</v>
      </c>
      <c r="D7" s="328">
        <v>1120.0999999999999</v>
      </c>
      <c r="E7" s="328">
        <v>203.68</v>
      </c>
      <c r="F7" s="328">
        <v>125.51</v>
      </c>
      <c r="G7" s="328">
        <v>393.48</v>
      </c>
      <c r="H7" s="328">
        <v>8.3800000000000008</v>
      </c>
      <c r="I7" s="328">
        <v>3018383</v>
      </c>
      <c r="J7" s="328">
        <v>18716</v>
      </c>
      <c r="K7" s="328">
        <v>17914</v>
      </c>
      <c r="L7" s="328">
        <v>5104</v>
      </c>
      <c r="M7" s="328">
        <v>2907</v>
      </c>
      <c r="N7" s="328">
        <v>941</v>
      </c>
      <c r="O7" s="328">
        <v>220</v>
      </c>
    </row>
    <row r="8" spans="1:15" s="330" customFormat="1">
      <c r="A8" s="174">
        <v>45473</v>
      </c>
      <c r="B8" s="329">
        <v>110875.45</v>
      </c>
      <c r="C8" s="328">
        <v>930.84</v>
      </c>
      <c r="D8" s="328">
        <v>1128.03</v>
      </c>
      <c r="E8" s="328">
        <v>83.59</v>
      </c>
      <c r="F8" s="328">
        <v>169.57</v>
      </c>
      <c r="G8" s="328">
        <v>31.06</v>
      </c>
      <c r="H8" s="328">
        <v>21.32</v>
      </c>
      <c r="I8" s="328">
        <v>2858464</v>
      </c>
      <c r="J8" s="328">
        <v>12750</v>
      </c>
      <c r="K8" s="328">
        <v>6616</v>
      </c>
      <c r="L8" s="328">
        <v>2378</v>
      </c>
      <c r="M8" s="328">
        <v>909</v>
      </c>
      <c r="N8" s="328">
        <v>287</v>
      </c>
      <c r="O8" s="328">
        <v>847</v>
      </c>
    </row>
    <row r="9" spans="1:15" s="330" customFormat="1">
      <c r="A9" s="174">
        <v>45504</v>
      </c>
      <c r="B9" s="328">
        <v>44463.49</v>
      </c>
      <c r="C9" s="328">
        <v>872.69</v>
      </c>
      <c r="D9" s="328">
        <v>1712.31</v>
      </c>
      <c r="E9" s="328">
        <v>327.56</v>
      </c>
      <c r="F9" s="328">
        <v>186.95</v>
      </c>
      <c r="G9" s="328">
        <v>43.6</v>
      </c>
      <c r="H9" s="328">
        <v>17.98</v>
      </c>
      <c r="I9" s="328">
        <v>1261707</v>
      </c>
      <c r="J9" s="328">
        <v>21945</v>
      </c>
      <c r="K9" s="328">
        <v>29722</v>
      </c>
      <c r="L9" s="328">
        <v>16987</v>
      </c>
      <c r="M9" s="328">
        <v>981</v>
      </c>
      <c r="N9" s="328">
        <v>813</v>
      </c>
      <c r="O9" s="328">
        <v>233</v>
      </c>
    </row>
    <row r="10" spans="1:15" s="330" customFormat="1">
      <c r="A10" s="174">
        <v>45535</v>
      </c>
      <c r="B10" s="328">
        <v>106361.34</v>
      </c>
      <c r="C10" s="328">
        <v>1437.79</v>
      </c>
      <c r="D10" s="328">
        <v>2005.26</v>
      </c>
      <c r="E10" s="328">
        <v>209.56</v>
      </c>
      <c r="F10" s="328">
        <v>195.98</v>
      </c>
      <c r="G10" s="328">
        <v>44.18</v>
      </c>
      <c r="H10" s="328">
        <v>10.17</v>
      </c>
      <c r="I10" s="328">
        <v>1804916</v>
      </c>
      <c r="J10" s="328">
        <v>45010</v>
      </c>
      <c r="K10" s="328">
        <v>58613</v>
      </c>
      <c r="L10" s="328">
        <v>2713</v>
      </c>
      <c r="M10" s="328">
        <v>1760</v>
      </c>
      <c r="N10" s="328">
        <v>1509</v>
      </c>
      <c r="O10" s="328">
        <v>301</v>
      </c>
    </row>
    <row r="11" spans="1:15" s="330" customFormat="1">
      <c r="A11" s="174">
        <v>45565</v>
      </c>
      <c r="B11" s="329"/>
      <c r="C11" s="328"/>
      <c r="D11" s="328"/>
      <c r="E11" s="328"/>
      <c r="F11" s="328"/>
      <c r="G11" s="328"/>
      <c r="H11" s="328"/>
      <c r="I11" s="316"/>
      <c r="J11" s="329"/>
      <c r="K11" s="329"/>
      <c r="L11" s="503"/>
      <c r="M11" s="328"/>
      <c r="N11" s="328"/>
      <c r="O11" s="328"/>
    </row>
    <row r="12" spans="1:15" s="330" customFormat="1">
      <c r="A12" s="174">
        <v>45596</v>
      </c>
      <c r="B12" s="329"/>
      <c r="C12" s="328"/>
      <c r="D12" s="328"/>
      <c r="E12" s="328"/>
      <c r="F12" s="328"/>
      <c r="G12" s="328"/>
      <c r="H12" s="328"/>
      <c r="I12" s="316"/>
      <c r="J12" s="329"/>
      <c r="K12" s="329"/>
      <c r="L12" s="503"/>
      <c r="M12" s="328"/>
      <c r="N12" s="328"/>
      <c r="O12" s="328"/>
    </row>
    <row r="13" spans="1:15" s="330" customFormat="1">
      <c r="A13" s="174">
        <v>45626</v>
      </c>
      <c r="B13" s="329"/>
      <c r="C13" s="328"/>
      <c r="D13" s="328"/>
      <c r="E13" s="328"/>
      <c r="F13" s="328"/>
      <c r="G13" s="328"/>
      <c r="H13" s="328"/>
      <c r="I13" s="316"/>
      <c r="J13" s="329"/>
      <c r="K13" s="329"/>
      <c r="L13" s="503"/>
      <c r="M13" s="328"/>
      <c r="N13" s="328"/>
      <c r="O13" s="328"/>
    </row>
    <row r="14" spans="1:15" s="330" customFormat="1">
      <c r="A14" s="174">
        <v>45657</v>
      </c>
      <c r="B14" s="329"/>
      <c r="C14" s="328"/>
      <c r="D14" s="328"/>
      <c r="E14" s="328"/>
      <c r="F14" s="328"/>
      <c r="G14" s="328"/>
      <c r="H14" s="328"/>
      <c r="I14" s="316"/>
      <c r="J14" s="329"/>
      <c r="K14" s="329"/>
      <c r="L14" s="503"/>
      <c r="M14" s="328"/>
      <c r="N14" s="328"/>
      <c r="O14" s="328"/>
    </row>
    <row r="15" spans="1:15" s="330" customFormat="1">
      <c r="A15" s="174">
        <v>45688</v>
      </c>
      <c r="B15" s="329"/>
      <c r="C15" s="328"/>
      <c r="D15" s="328"/>
      <c r="E15" s="328"/>
      <c r="F15" s="328"/>
      <c r="G15" s="328"/>
      <c r="H15" s="328"/>
      <c r="I15" s="316"/>
      <c r="J15" s="329"/>
      <c r="K15" s="329"/>
      <c r="L15" s="503"/>
      <c r="M15" s="328"/>
      <c r="N15" s="328"/>
      <c r="O15" s="328"/>
    </row>
    <row r="16" spans="1:15" s="330" customFormat="1">
      <c r="A16" s="174">
        <v>45716</v>
      </c>
      <c r="B16" s="329"/>
      <c r="C16" s="328"/>
      <c r="D16" s="328"/>
      <c r="E16" s="328"/>
      <c r="F16" s="328"/>
      <c r="G16" s="328"/>
      <c r="H16" s="328"/>
      <c r="I16" s="316"/>
      <c r="J16" s="329"/>
      <c r="K16" s="329"/>
      <c r="L16" s="503"/>
      <c r="M16" s="328"/>
      <c r="N16" s="328"/>
      <c r="O16" s="328"/>
    </row>
    <row r="17" spans="1:15" s="330" customFormat="1">
      <c r="A17" s="174">
        <v>45747</v>
      </c>
      <c r="B17" s="329"/>
      <c r="C17" s="328"/>
      <c r="D17" s="328"/>
      <c r="E17" s="328"/>
      <c r="F17" s="328"/>
      <c r="G17" s="328"/>
      <c r="H17" s="328"/>
      <c r="I17" s="316"/>
      <c r="J17" s="329"/>
      <c r="K17" s="329"/>
      <c r="L17" s="503"/>
      <c r="M17" s="328"/>
      <c r="N17" s="328"/>
      <c r="O17" s="328"/>
    </row>
    <row r="18" spans="1:15" s="330" customFormat="1">
      <c r="A18" s="743" t="str">
        <f>"$ indicates as on "&amp;TEXT(IF(COUNT(B6:B17)=1,A6,IF(COUNT(B6:B17)=2,A7,IF(COUNT(B6:B17)=3,A8,IF(COUNT(B6:B17)=4,A9,IF(COUNT(B6:B17)=5,A10,IF(COUNT(B6:B17)=6,A11,IF(COUNT(B6:B17)=7,A12,IF(COUNT(B6:B17)=8,A13,IF(COUNT(B6:B17)=9,A14,IF(COUNT(B6:B17)=10,A15,IF(COUNT(B6:B17)=11,A16,A17))))))))))),"mmmm dd, yyyy")</f>
        <v>$ indicates as on August 31, 2024</v>
      </c>
      <c r="B18" s="561"/>
      <c r="C18" s="561"/>
      <c r="D18" s="561"/>
      <c r="E18" s="561"/>
      <c r="F18" s="561"/>
      <c r="G18" s="561"/>
      <c r="H18" s="561"/>
      <c r="I18" s="561"/>
    </row>
    <row r="19" spans="1:15" s="330" customFormat="1">
      <c r="A19" s="1293" t="s">
        <v>307</v>
      </c>
      <c r="B19" s="1293"/>
      <c r="C19" s="1293"/>
      <c r="D19" s="1293"/>
      <c r="E19" s="1293"/>
      <c r="F19" s="1293"/>
      <c r="G19" s="1293"/>
      <c r="H19" s="1293"/>
      <c r="I19" s="1293"/>
    </row>
    <row r="20" spans="1:15" s="330" customFormat="1">
      <c r="A20" s="419"/>
      <c r="B20" s="137"/>
      <c r="C20" s="137"/>
      <c r="D20" s="137"/>
      <c r="E20" s="137"/>
      <c r="F20" s="137"/>
      <c r="G20" s="137"/>
      <c r="H20" s="137"/>
      <c r="I20" s="92"/>
    </row>
    <row r="25" spans="1:15">
      <c r="D25" s="154"/>
    </row>
  </sheetData>
  <mergeCells count="4">
    <mergeCell ref="A2:A3"/>
    <mergeCell ref="B2:H2"/>
    <mergeCell ref="I2:O2"/>
    <mergeCell ref="A19:I19"/>
  </mergeCells>
  <printOptions horizontalCentered="1"/>
  <pageMargins left="0.78431372549019618" right="0.78431372549019618" top="0.98039215686274517" bottom="0.98039215686274517" header="0.50980392156862753" footer="0.50980392156862753"/>
  <pageSetup paperSize="9" scale="59" orientation="landscape" useFirstPageNumber="1" r:id="rId1"/>
  <headerFooter alignWithMargins="0"/>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23"/>
  <sheetViews>
    <sheetView workbookViewId="0"/>
  </sheetViews>
  <sheetFormatPr defaultColWidth="9.140625" defaultRowHeight="15"/>
  <cols>
    <col min="1" max="9" width="14.5703125" style="92" bestFit="1" customWidth="1"/>
    <col min="10" max="16384" width="9.140625" style="92"/>
  </cols>
  <sheetData>
    <row r="1" spans="1:9" ht="18.75" customHeight="1">
      <c r="A1" s="569" t="s">
        <v>578</v>
      </c>
      <c r="B1" s="569"/>
      <c r="C1" s="569"/>
      <c r="D1" s="569"/>
      <c r="E1" s="569"/>
      <c r="F1" s="569"/>
      <c r="G1" s="569"/>
    </row>
    <row r="2" spans="1:9" s="330" customFormat="1" ht="27" customHeight="1">
      <c r="A2" s="1415" t="s">
        <v>170</v>
      </c>
      <c r="B2" s="1408" t="s">
        <v>268</v>
      </c>
      <c r="C2" s="1409"/>
      <c r="D2" s="1409"/>
      <c r="E2" s="1410"/>
      <c r="F2" s="1434" t="s">
        <v>579</v>
      </c>
      <c r="G2" s="1435"/>
      <c r="H2" s="1435"/>
      <c r="I2" s="1436"/>
    </row>
    <row r="3" spans="1:9" s="330" customFormat="1" ht="18" customHeight="1">
      <c r="A3" s="1329"/>
      <c r="B3" s="508" t="s">
        <v>568</v>
      </c>
      <c r="C3" s="508" t="s">
        <v>569</v>
      </c>
      <c r="D3" s="508" t="s">
        <v>570</v>
      </c>
      <c r="E3" s="508" t="s">
        <v>571</v>
      </c>
      <c r="F3" s="508" t="s">
        <v>568</v>
      </c>
      <c r="G3" s="508" t="s">
        <v>569</v>
      </c>
      <c r="H3" s="508" t="s">
        <v>570</v>
      </c>
      <c r="I3" s="508" t="s">
        <v>571</v>
      </c>
    </row>
    <row r="4" spans="1:9" s="97" customFormat="1" ht="18" customHeight="1">
      <c r="A4" s="679" t="s">
        <v>518</v>
      </c>
      <c r="B4" s="498">
        <v>247087.80125950006</v>
      </c>
      <c r="C4" s="498">
        <v>41.063919250000005</v>
      </c>
      <c r="D4" s="498">
        <v>553.48741949999999</v>
      </c>
      <c r="E4" s="498">
        <v>55.695217749999998</v>
      </c>
      <c r="F4" s="498">
        <v>103178</v>
      </c>
      <c r="G4" s="498">
        <v>0</v>
      </c>
      <c r="H4" s="498">
        <v>8</v>
      </c>
      <c r="I4" s="498">
        <v>0</v>
      </c>
    </row>
    <row r="5" spans="1:9" s="97" customFormat="1" ht="18" customHeight="1">
      <c r="A5" s="682" t="s">
        <v>743</v>
      </c>
      <c r="B5" s="694">
        <f>SUM(B6:B17)</f>
        <v>7728.7475430000004</v>
      </c>
      <c r="C5" s="694">
        <f>SUM(C6:C17)</f>
        <v>0</v>
      </c>
      <c r="D5" s="694">
        <f>SUM(D6:D17)</f>
        <v>0</v>
      </c>
      <c r="E5" s="694">
        <f>SUM(E6:E17)</f>
        <v>0</v>
      </c>
      <c r="F5" s="223">
        <f>INDEX(F6:F17,COUNT(F6:F17))</f>
        <v>0</v>
      </c>
      <c r="G5" s="223">
        <f>IFERROR(INDEX(G6:G16,COUNT(G6:G16)), "0")</f>
        <v>0</v>
      </c>
      <c r="H5" s="223">
        <f>IFERROR(INDEX(H6:H16,COUNT(H6:H16)), "0")</f>
        <v>0</v>
      </c>
      <c r="I5" s="223">
        <f>IFERROR(INDEX(I6:I16,COUNT(I6:I16)), "0")</f>
        <v>0</v>
      </c>
    </row>
    <row r="6" spans="1:9" s="330" customFormat="1">
      <c r="A6" s="174">
        <v>45412</v>
      </c>
      <c r="B6" s="328">
        <v>5312.076293000001</v>
      </c>
      <c r="C6" s="328">
        <v>0</v>
      </c>
      <c r="D6" s="328">
        <v>0</v>
      </c>
      <c r="E6" s="328">
        <v>0</v>
      </c>
      <c r="F6" s="328">
        <v>40175</v>
      </c>
      <c r="G6" s="328" t="s">
        <v>235</v>
      </c>
      <c r="H6" s="328" t="s">
        <v>235</v>
      </c>
      <c r="I6" s="328" t="s">
        <v>235</v>
      </c>
    </row>
    <row r="7" spans="1:9" s="330" customFormat="1">
      <c r="A7" s="174">
        <v>45443</v>
      </c>
      <c r="B7" s="328">
        <v>1001.7</v>
      </c>
      <c r="C7" s="328">
        <v>0</v>
      </c>
      <c r="D7" s="328">
        <v>0</v>
      </c>
      <c r="E7" s="328">
        <v>0</v>
      </c>
      <c r="F7" s="328">
        <v>4</v>
      </c>
      <c r="G7" s="328">
        <v>0</v>
      </c>
      <c r="H7" s="328">
        <v>0</v>
      </c>
      <c r="I7" s="328">
        <v>0</v>
      </c>
    </row>
    <row r="8" spans="1:9" s="330" customFormat="1">
      <c r="A8" s="174">
        <v>45473</v>
      </c>
      <c r="B8" s="328">
        <v>651.57425000000001</v>
      </c>
      <c r="C8" s="328">
        <v>0</v>
      </c>
      <c r="D8" s="328">
        <v>0</v>
      </c>
      <c r="E8" s="328">
        <v>0</v>
      </c>
      <c r="F8" s="328">
        <v>28000</v>
      </c>
      <c r="G8" s="328">
        <v>0</v>
      </c>
      <c r="H8" s="328">
        <v>0</v>
      </c>
      <c r="I8" s="328">
        <v>0</v>
      </c>
    </row>
    <row r="9" spans="1:9" s="330" customFormat="1">
      <c r="A9" s="174">
        <v>45504</v>
      </c>
      <c r="B9" s="328">
        <v>175.78450000000001</v>
      </c>
      <c r="C9" s="328">
        <v>0</v>
      </c>
      <c r="D9" s="328">
        <v>0</v>
      </c>
      <c r="E9" s="328">
        <v>0</v>
      </c>
      <c r="F9" s="328">
        <v>0</v>
      </c>
      <c r="G9" s="328">
        <v>0</v>
      </c>
      <c r="H9" s="328">
        <v>0</v>
      </c>
      <c r="I9" s="328">
        <v>0</v>
      </c>
    </row>
    <row r="10" spans="1:9" s="330" customFormat="1">
      <c r="A10" s="174">
        <v>45535</v>
      </c>
      <c r="B10" s="328">
        <v>587.61249999999995</v>
      </c>
      <c r="C10" s="328">
        <v>0</v>
      </c>
      <c r="D10" s="328">
        <v>0</v>
      </c>
      <c r="E10" s="328">
        <v>0</v>
      </c>
      <c r="F10" s="328">
        <v>0</v>
      </c>
      <c r="G10" s="328">
        <v>0</v>
      </c>
      <c r="H10" s="328">
        <v>0</v>
      </c>
      <c r="I10" s="328">
        <v>0</v>
      </c>
    </row>
    <row r="11" spans="1:9" s="330" customFormat="1">
      <c r="A11" s="174">
        <v>45565</v>
      </c>
      <c r="B11" s="328"/>
      <c r="C11" s="328"/>
      <c r="D11" s="328"/>
      <c r="E11" s="328"/>
      <c r="F11" s="328"/>
      <c r="G11" s="328"/>
      <c r="H11" s="328"/>
      <c r="I11" s="328"/>
    </row>
    <row r="12" spans="1:9" s="330" customFormat="1">
      <c r="A12" s="174">
        <v>45596</v>
      </c>
      <c r="B12" s="328"/>
      <c r="C12" s="328"/>
      <c r="D12" s="328"/>
      <c r="E12" s="328"/>
      <c r="F12" s="328"/>
      <c r="G12" s="328"/>
      <c r="H12" s="328"/>
      <c r="I12" s="328"/>
    </row>
    <row r="13" spans="1:9" s="330" customFormat="1">
      <c r="A13" s="174">
        <v>45626</v>
      </c>
      <c r="B13" s="328"/>
      <c r="C13" s="328"/>
      <c r="D13" s="328"/>
      <c r="E13" s="328"/>
      <c r="F13" s="328"/>
      <c r="G13" s="328"/>
      <c r="H13" s="328"/>
      <c r="I13" s="328"/>
    </row>
    <row r="14" spans="1:9" s="330" customFormat="1">
      <c r="A14" s="174">
        <v>45657</v>
      </c>
      <c r="B14" s="328"/>
      <c r="C14" s="328"/>
      <c r="D14" s="328"/>
      <c r="E14" s="328"/>
      <c r="F14" s="328"/>
      <c r="G14" s="328"/>
      <c r="H14" s="328"/>
      <c r="I14" s="328"/>
    </row>
    <row r="15" spans="1:9" s="330" customFormat="1">
      <c r="A15" s="174">
        <v>45688</v>
      </c>
      <c r="B15" s="328"/>
      <c r="C15" s="328"/>
      <c r="D15" s="328"/>
      <c r="E15" s="328"/>
      <c r="F15" s="328"/>
      <c r="G15" s="328"/>
      <c r="H15" s="328"/>
      <c r="I15" s="328"/>
    </row>
    <row r="16" spans="1:9" s="330" customFormat="1">
      <c r="A16" s="174">
        <v>45716</v>
      </c>
      <c r="B16" s="328"/>
      <c r="C16" s="328"/>
      <c r="D16" s="328"/>
      <c r="E16" s="328"/>
      <c r="F16" s="328"/>
      <c r="G16" s="328"/>
      <c r="H16" s="328"/>
      <c r="I16" s="328"/>
    </row>
    <row r="17" spans="1:9" s="330" customFormat="1">
      <c r="A17" s="174">
        <v>45747</v>
      </c>
      <c r="B17" s="328"/>
      <c r="C17" s="328"/>
      <c r="D17" s="328"/>
      <c r="E17" s="328"/>
      <c r="F17" s="328"/>
      <c r="G17" s="328"/>
      <c r="H17" s="328"/>
      <c r="I17" s="328"/>
    </row>
    <row r="18" spans="1:9" s="330" customFormat="1">
      <c r="A18" s="743" t="str">
        <f>"$ indicates as on "&amp;TEXT(IF(COUNT(B6:B17)=1,A6,IF(COUNT(B6:B17)=2,A7,IF(COUNT(B6:B17)=3,A8,IF(COUNT(B6:B17)=4,A9,IF(COUNT(B6:B17)=5,A10,IF(COUNT(B6:B17)=6,A11,IF(COUNT(B6:B17)=7,A12,IF(COUNT(B6:B17)=8,A13,IF(COUNT(B6:B17)=9,A14,IF(COUNT(B6:B17)=10,A15,IF(COUNT(B6:B17)=11,A16,A17))))))))))),"mmmm dd, yyyy")</f>
        <v>$ indicates as on August 31, 2024</v>
      </c>
      <c r="B18" s="561"/>
      <c r="C18" s="561"/>
      <c r="D18" s="561"/>
      <c r="E18" s="561"/>
      <c r="F18" s="561"/>
      <c r="G18" s="561"/>
      <c r="H18" s="561"/>
      <c r="I18" s="561"/>
    </row>
    <row r="19" spans="1:9" s="330" customFormat="1">
      <c r="A19" s="561" t="s">
        <v>275</v>
      </c>
      <c r="B19" s="561"/>
      <c r="C19" s="561"/>
      <c r="D19" s="561"/>
      <c r="E19" s="561"/>
      <c r="F19" s="561"/>
      <c r="G19" s="561"/>
      <c r="H19" s="561"/>
      <c r="I19" s="561"/>
    </row>
    <row r="20" spans="1:9" s="330" customFormat="1">
      <c r="A20" s="419"/>
      <c r="B20" s="561"/>
      <c r="C20" s="561"/>
      <c r="D20" s="561"/>
      <c r="E20" s="561"/>
      <c r="F20" s="561"/>
      <c r="G20" s="561"/>
      <c r="H20" s="561"/>
      <c r="I20" s="561"/>
    </row>
    <row r="21" spans="1:9" s="330" customFormat="1">
      <c r="A21" s="92"/>
      <c r="B21" s="104"/>
      <c r="C21" s="104"/>
      <c r="D21" s="104"/>
      <c r="E21" s="104"/>
      <c r="F21" s="104"/>
      <c r="G21" s="104"/>
      <c r="H21" s="104"/>
      <c r="I21" s="104"/>
    </row>
    <row r="22" spans="1:9">
      <c r="B22" s="105"/>
      <c r="C22" s="105"/>
      <c r="D22" s="105"/>
      <c r="E22" s="105"/>
    </row>
    <row r="23" spans="1:9">
      <c r="B23" s="105"/>
      <c r="C23" s="105"/>
      <c r="D23" s="105"/>
      <c r="E23" s="105"/>
    </row>
  </sheetData>
  <mergeCells count="3">
    <mergeCell ref="A2:A3"/>
    <mergeCell ref="B2:E2"/>
    <mergeCell ref="F2:I2"/>
  </mergeCells>
  <printOptions horizontalCentered="1"/>
  <pageMargins left="0.78431372549019618" right="0.78431372549019618" top="0.98039215686274517" bottom="0.98039215686274517" header="0.50980392156862753" footer="0.50980392156862753"/>
  <pageSetup paperSize="9" scale="98" orientation="landscape" useFirstPageNumber="1" r:id="rId1"/>
  <headerFooter alignWithMargins="0"/>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27"/>
  <sheetViews>
    <sheetView workbookViewId="0"/>
  </sheetViews>
  <sheetFormatPr defaultColWidth="9.140625" defaultRowHeight="15"/>
  <cols>
    <col min="1" max="1" width="12.140625" style="92" bestFit="1" customWidth="1"/>
    <col min="2" max="2" width="12.140625" style="92" customWidth="1"/>
    <col min="3" max="6" width="12.140625" style="92" bestFit="1" customWidth="1"/>
    <col min="7" max="7" width="12.140625" style="92" customWidth="1"/>
    <col min="8" max="11" width="12.140625" style="92" bestFit="1" customWidth="1"/>
    <col min="12" max="12" width="22.42578125" style="92" bestFit="1" customWidth="1"/>
    <col min="13" max="13" width="4.5703125" style="92" bestFit="1" customWidth="1"/>
    <col min="14" max="16384" width="9.140625" style="92"/>
  </cols>
  <sheetData>
    <row r="1" spans="1:12" ht="15.75" customHeight="1">
      <c r="A1" s="569" t="s">
        <v>580</v>
      </c>
      <c r="B1" s="569"/>
      <c r="C1" s="569"/>
      <c r="D1" s="569"/>
      <c r="E1" s="569"/>
      <c r="F1" s="569"/>
      <c r="G1" s="569"/>
      <c r="H1" s="569"/>
      <c r="I1" s="569"/>
      <c r="J1" s="569"/>
      <c r="K1" s="569"/>
      <c r="L1" s="569"/>
    </row>
    <row r="2" spans="1:12" s="330" customFormat="1" ht="19.5" customHeight="1">
      <c r="A2" s="1422" t="s">
        <v>170</v>
      </c>
      <c r="B2" s="1437" t="s">
        <v>549</v>
      </c>
      <c r="C2" s="1438"/>
      <c r="D2" s="1438"/>
      <c r="E2" s="1438"/>
      <c r="F2" s="1439"/>
      <c r="G2" s="1416" t="s">
        <v>556</v>
      </c>
      <c r="H2" s="1417"/>
      <c r="I2" s="1417"/>
      <c r="J2" s="1417"/>
      <c r="K2" s="1418"/>
    </row>
    <row r="3" spans="1:12" s="330" customFormat="1">
      <c r="A3" s="1306"/>
      <c r="B3" s="572" t="s">
        <v>581</v>
      </c>
      <c r="C3" s="563" t="s">
        <v>582</v>
      </c>
      <c r="D3" s="508" t="s">
        <v>583</v>
      </c>
      <c r="E3" s="508" t="s">
        <v>584</v>
      </c>
      <c r="F3" s="508" t="s">
        <v>585</v>
      </c>
      <c r="G3" s="508" t="s">
        <v>581</v>
      </c>
      <c r="H3" s="508" t="s">
        <v>582</v>
      </c>
      <c r="I3" s="508" t="s">
        <v>583</v>
      </c>
      <c r="J3" s="508" t="s">
        <v>584</v>
      </c>
      <c r="K3" s="508" t="s">
        <v>585</v>
      </c>
    </row>
    <row r="4" spans="1:12" s="97" customFormat="1" ht="17.25" customHeight="1">
      <c r="A4" s="679" t="s">
        <v>518</v>
      </c>
      <c r="B4" s="155">
        <v>265155.58940524998</v>
      </c>
      <c r="C4" s="494">
        <v>1582715.4185500001</v>
      </c>
      <c r="D4" s="494">
        <v>323528.36560299998</v>
      </c>
      <c r="E4" s="498">
        <v>14354.014708000001</v>
      </c>
      <c r="F4" s="498">
        <v>3740.2410360000022</v>
      </c>
      <c r="G4" s="498">
        <v>87232.275318500004</v>
      </c>
      <c r="H4" s="498">
        <v>51139.150599250024</v>
      </c>
      <c r="I4" s="498">
        <v>16606.64022175</v>
      </c>
      <c r="J4" s="498">
        <v>1343.6427497500003</v>
      </c>
      <c r="K4" s="498">
        <v>0</v>
      </c>
    </row>
    <row r="5" spans="1:12" s="97" customFormat="1" ht="17.25" customHeight="1">
      <c r="A5" s="682" t="s">
        <v>743</v>
      </c>
      <c r="B5" s="694">
        <f t="shared" ref="B5:K5" si="0">SUM(B6:B17)</f>
        <v>425.11490000000003</v>
      </c>
      <c r="C5" s="694">
        <f t="shared" si="0"/>
        <v>223204.19890000002</v>
      </c>
      <c r="D5" s="694">
        <f t="shared" si="0"/>
        <v>5922.6467000000002</v>
      </c>
      <c r="E5" s="694">
        <f t="shared" si="0"/>
        <v>186.8305</v>
      </c>
      <c r="F5" s="694">
        <f t="shared" si="0"/>
        <v>167.45919999999998</v>
      </c>
      <c r="G5" s="694">
        <f t="shared" si="0"/>
        <v>91.471999999999994</v>
      </c>
      <c r="H5" s="694">
        <f t="shared" si="0"/>
        <v>264.4076</v>
      </c>
      <c r="I5" s="694">
        <f t="shared" si="0"/>
        <v>1.6799999999999999E-2</v>
      </c>
      <c r="J5" s="694">
        <f t="shared" si="0"/>
        <v>0</v>
      </c>
      <c r="K5" s="694">
        <f t="shared" si="0"/>
        <v>0</v>
      </c>
      <c r="L5" s="330"/>
    </row>
    <row r="6" spans="1:12" s="330" customFormat="1">
      <c r="A6" s="174">
        <v>45412</v>
      </c>
      <c r="B6" s="328">
        <v>425.11490000000003</v>
      </c>
      <c r="C6" s="328">
        <v>24202.961899999998</v>
      </c>
      <c r="D6" s="328">
        <v>1328.1263000000001</v>
      </c>
      <c r="E6" s="328">
        <v>186.73869999999999</v>
      </c>
      <c r="F6" s="328">
        <v>167.45919999999998</v>
      </c>
      <c r="G6" s="328">
        <v>91.471999999999994</v>
      </c>
      <c r="H6" s="328">
        <v>264.4076</v>
      </c>
      <c r="I6" s="328">
        <v>1.6799999999999999E-2</v>
      </c>
      <c r="J6" s="328">
        <v>0</v>
      </c>
      <c r="K6" s="328">
        <v>0</v>
      </c>
    </row>
    <row r="7" spans="1:12" s="330" customFormat="1">
      <c r="A7" s="174">
        <v>45443</v>
      </c>
      <c r="B7" s="328">
        <v>0</v>
      </c>
      <c r="C7" s="329">
        <v>196923.91000000003</v>
      </c>
      <c r="D7" s="328">
        <v>4226.71</v>
      </c>
      <c r="E7" s="328">
        <v>0</v>
      </c>
      <c r="F7" s="328">
        <v>0</v>
      </c>
      <c r="G7" s="328">
        <v>0</v>
      </c>
      <c r="H7" s="328">
        <v>0</v>
      </c>
      <c r="I7" s="328">
        <v>0</v>
      </c>
      <c r="J7" s="328">
        <v>0</v>
      </c>
      <c r="K7" s="328">
        <v>0</v>
      </c>
    </row>
    <row r="8" spans="1:12" s="330" customFormat="1">
      <c r="A8" s="174">
        <v>45473</v>
      </c>
      <c r="B8" s="328">
        <v>0</v>
      </c>
      <c r="C8" s="328">
        <v>1900.6690999999998</v>
      </c>
      <c r="D8" s="328">
        <v>367.81039999999996</v>
      </c>
      <c r="E8" s="328">
        <v>8.3400000000000002E-2</v>
      </c>
      <c r="F8" s="328">
        <v>0</v>
      </c>
      <c r="G8" s="328">
        <v>0</v>
      </c>
      <c r="H8" s="328">
        <v>0</v>
      </c>
      <c r="I8" s="328">
        <v>0</v>
      </c>
      <c r="J8" s="328">
        <v>0</v>
      </c>
      <c r="K8" s="328">
        <v>0</v>
      </c>
    </row>
    <row r="9" spans="1:12" s="330" customFormat="1">
      <c r="A9" s="174">
        <v>45504</v>
      </c>
      <c r="B9" s="328">
        <v>0</v>
      </c>
      <c r="C9" s="328">
        <v>175.81789999999998</v>
      </c>
      <c r="D9" s="328">
        <v>0</v>
      </c>
      <c r="E9" s="328">
        <v>8.3999999999999995E-3</v>
      </c>
      <c r="F9" s="328">
        <v>0</v>
      </c>
      <c r="G9" s="328">
        <v>0</v>
      </c>
      <c r="H9" s="328">
        <v>0</v>
      </c>
      <c r="I9" s="328">
        <v>0</v>
      </c>
      <c r="J9" s="328">
        <v>0</v>
      </c>
      <c r="K9" s="328">
        <v>0</v>
      </c>
    </row>
    <row r="10" spans="1:12" s="330" customFormat="1">
      <c r="A10" s="174">
        <v>45535</v>
      </c>
      <c r="B10" s="328">
        <v>0</v>
      </c>
      <c r="C10" s="313">
        <v>0.84</v>
      </c>
      <c r="D10" s="328">
        <v>0</v>
      </c>
      <c r="E10" s="328">
        <v>0</v>
      </c>
      <c r="F10" s="328">
        <v>0</v>
      </c>
      <c r="G10" s="328">
        <v>0</v>
      </c>
      <c r="H10" s="328">
        <v>0</v>
      </c>
      <c r="I10" s="328">
        <v>0</v>
      </c>
      <c r="J10" s="328">
        <v>0</v>
      </c>
      <c r="K10" s="328">
        <v>0</v>
      </c>
    </row>
    <row r="11" spans="1:12" s="330" customFormat="1">
      <c r="A11" s="174">
        <v>45565</v>
      </c>
      <c r="B11" s="328"/>
      <c r="C11" s="329"/>
      <c r="D11" s="328"/>
      <c r="E11" s="328"/>
      <c r="F11" s="328"/>
      <c r="G11" s="328"/>
      <c r="H11" s="328"/>
      <c r="I11" s="328"/>
      <c r="J11" s="328"/>
      <c r="K11" s="328"/>
    </row>
    <row r="12" spans="1:12" s="330" customFormat="1">
      <c r="A12" s="174">
        <v>45596</v>
      </c>
      <c r="B12" s="328"/>
      <c r="C12" s="256"/>
      <c r="D12" s="328"/>
      <c r="E12" s="328"/>
      <c r="F12" s="328"/>
      <c r="G12" s="328"/>
      <c r="H12" s="328"/>
      <c r="I12" s="328"/>
      <c r="J12" s="328"/>
      <c r="K12" s="328"/>
    </row>
    <row r="13" spans="1:12" s="330" customFormat="1">
      <c r="A13" s="174">
        <v>45626</v>
      </c>
      <c r="B13" s="328"/>
      <c r="C13" s="256"/>
      <c r="D13" s="328"/>
      <c r="E13" s="328"/>
      <c r="F13" s="328"/>
      <c r="G13" s="328"/>
      <c r="H13" s="328"/>
      <c r="I13" s="328"/>
      <c r="J13" s="328"/>
      <c r="K13" s="328"/>
    </row>
    <row r="14" spans="1:12" s="330" customFormat="1">
      <c r="A14" s="174">
        <v>45657</v>
      </c>
      <c r="B14" s="328"/>
      <c r="C14" s="256"/>
      <c r="D14" s="328"/>
      <c r="E14" s="328"/>
      <c r="F14" s="328"/>
      <c r="G14" s="328"/>
      <c r="H14" s="328"/>
      <c r="I14" s="328"/>
      <c r="J14" s="328"/>
      <c r="K14" s="328"/>
    </row>
    <row r="15" spans="1:12" s="330" customFormat="1">
      <c r="A15" s="174">
        <v>45688</v>
      </c>
      <c r="B15" s="328"/>
      <c r="C15" s="329"/>
      <c r="D15" s="328"/>
      <c r="E15" s="328"/>
      <c r="F15" s="328"/>
      <c r="G15" s="328"/>
      <c r="H15" s="328"/>
      <c r="I15" s="328"/>
      <c r="J15" s="328"/>
      <c r="K15" s="328"/>
    </row>
    <row r="16" spans="1:12" s="330" customFormat="1">
      <c r="A16" s="174">
        <v>45716</v>
      </c>
      <c r="B16" s="328"/>
      <c r="C16" s="256"/>
      <c r="D16" s="328"/>
      <c r="E16" s="328"/>
      <c r="F16" s="328"/>
      <c r="G16" s="328"/>
      <c r="H16" s="328"/>
      <c r="I16" s="328"/>
      <c r="J16" s="328"/>
      <c r="K16" s="328"/>
    </row>
    <row r="17" spans="1:11" s="330" customFormat="1">
      <c r="A17" s="174">
        <v>45747</v>
      </c>
      <c r="B17" s="328"/>
      <c r="C17" s="256"/>
      <c r="D17" s="328"/>
      <c r="E17" s="328"/>
      <c r="F17" s="328"/>
      <c r="G17" s="328"/>
      <c r="H17" s="328"/>
      <c r="I17" s="328"/>
      <c r="J17" s="328"/>
      <c r="K17" s="328"/>
    </row>
    <row r="18" spans="1:11" s="330" customFormat="1">
      <c r="A18" s="743" t="str">
        <f>"$ indicates as on "&amp;TEXT(IF(COUNT(B6:B17)=1,A6,IF(COUNT(B6:B17)=2,A7,IF(COUNT(B6:B17)=3,A8,IF(COUNT(B6:B17)=4,A9,IF(COUNT(B6:B17)=5,A10,IF(COUNT(B6:B17)=6,A11,IF(COUNT(B6:B17)=7,A12,IF(COUNT(B6:B17)=8,A13,IF(COUNT(B6:B17)=9,A14,IF(COUNT(B6:B17)=10,A15,IF(COUNT(B6:B17)=11,A16,A17))))))))))),"mmmm dd, yyyy")</f>
        <v>$ indicates as on August 31, 2024</v>
      </c>
      <c r="B18" s="332"/>
      <c r="C18" s="132"/>
      <c r="D18" s="332"/>
      <c r="E18" s="332"/>
      <c r="F18" s="332"/>
      <c r="G18" s="332"/>
      <c r="H18" s="332"/>
      <c r="I18" s="332"/>
      <c r="J18" s="332"/>
      <c r="K18" s="332"/>
    </row>
    <row r="19" spans="1:11" s="330" customFormat="1" ht="15" customHeight="1">
      <c r="A19" s="1322" t="s">
        <v>257</v>
      </c>
      <c r="B19" s="1322"/>
      <c r="C19" s="1322"/>
      <c r="D19" s="1322"/>
      <c r="E19" s="1322"/>
      <c r="F19" s="1322"/>
      <c r="G19" s="1322"/>
      <c r="H19" s="1322"/>
      <c r="I19" s="1322"/>
      <c r="J19" s="1322"/>
      <c r="K19" s="1322"/>
    </row>
    <row r="20" spans="1:11" s="330" customFormat="1" ht="15" customHeight="1">
      <c r="A20" s="419"/>
      <c r="B20" s="104"/>
      <c r="C20" s="104"/>
      <c r="D20" s="104"/>
      <c r="E20" s="104"/>
      <c r="F20" s="104"/>
      <c r="G20" s="104"/>
      <c r="H20" s="104"/>
      <c r="I20" s="104"/>
      <c r="J20" s="104"/>
      <c r="K20" s="104"/>
    </row>
    <row r="21" spans="1:11">
      <c r="B21" s="105"/>
      <c r="C21" s="105"/>
      <c r="D21" s="105"/>
      <c r="E21" s="105"/>
      <c r="F21" s="105"/>
      <c r="G21" s="105"/>
      <c r="H21" s="105"/>
      <c r="I21" s="105"/>
      <c r="J21" s="105"/>
      <c r="K21" s="105"/>
    </row>
    <row r="22" spans="1:11">
      <c r="B22" s="156"/>
      <c r="C22" s="156"/>
      <c r="F22" s="105"/>
      <c r="K22" s="105"/>
    </row>
    <row r="23" spans="1:11">
      <c r="B23" s="156"/>
      <c r="C23" s="156"/>
      <c r="F23" s="105"/>
      <c r="K23" s="105"/>
    </row>
    <row r="24" spans="1:11">
      <c r="B24" s="156"/>
      <c r="C24" s="156"/>
      <c r="F24" s="105"/>
      <c r="K24" s="105"/>
    </row>
    <row r="25" spans="1:11">
      <c r="B25" s="115"/>
      <c r="C25" s="115"/>
      <c r="F25" s="105"/>
      <c r="K25" s="105"/>
    </row>
    <row r="26" spans="1:11">
      <c r="F26" s="105"/>
      <c r="K26" s="105"/>
    </row>
    <row r="27" spans="1:11">
      <c r="F27" s="105"/>
    </row>
  </sheetData>
  <mergeCells count="4">
    <mergeCell ref="A2:A3"/>
    <mergeCell ref="B2:F2"/>
    <mergeCell ref="G2:K2"/>
    <mergeCell ref="A19:K19"/>
  </mergeCells>
  <printOptions horizontalCentered="1"/>
  <pageMargins left="0.78431372549019618" right="0.78431372549019618" top="0.98039215686274517" bottom="0.98039215686274517" header="0.50980392156862753" footer="0.50980392156862753"/>
  <pageSetup paperSize="9" scale="82" fitToHeight="0" orientation="landscape" useFirstPageNumber="1" r:id="rId1"/>
  <headerFooter alignWithMargins="0"/>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28"/>
  <sheetViews>
    <sheetView workbookViewId="0"/>
  </sheetViews>
  <sheetFormatPr defaultColWidth="9.140625" defaultRowHeight="15"/>
  <cols>
    <col min="1" max="1" width="12.42578125" style="92" bestFit="1" customWidth="1"/>
    <col min="2" max="2" width="12.42578125" style="92" customWidth="1"/>
    <col min="3" max="6" width="12.42578125" style="92" bestFit="1" customWidth="1"/>
    <col min="7" max="7" width="12.42578125" style="92" customWidth="1"/>
    <col min="8" max="10" width="12.140625" style="92" bestFit="1" customWidth="1"/>
    <col min="11" max="11" width="12.42578125" style="92" bestFit="1" customWidth="1"/>
    <col min="12" max="13" width="9.140625" style="92"/>
    <col min="14" max="14" width="10.5703125" style="92" bestFit="1" customWidth="1"/>
    <col min="15" max="15" width="10.28515625" style="92" bestFit="1" customWidth="1"/>
    <col min="16" max="16384" width="9.140625" style="92"/>
  </cols>
  <sheetData>
    <row r="1" spans="1:15" ht="17.25" customHeight="1">
      <c r="A1" s="222" t="s">
        <v>586</v>
      </c>
      <c r="B1" s="234"/>
      <c r="C1" s="234"/>
      <c r="D1" s="234"/>
      <c r="E1" s="234"/>
      <c r="F1" s="234"/>
      <c r="G1" s="234"/>
      <c r="H1" s="234"/>
      <c r="I1" s="234"/>
      <c r="J1" s="234"/>
      <c r="K1" s="234"/>
    </row>
    <row r="2" spans="1:15" s="330" customFormat="1" ht="18" customHeight="1">
      <c r="A2" s="1440" t="s">
        <v>170</v>
      </c>
      <c r="B2" s="1442" t="s">
        <v>549</v>
      </c>
      <c r="C2" s="1443"/>
      <c r="D2" s="1443"/>
      <c r="E2" s="1443"/>
      <c r="F2" s="1444"/>
      <c r="G2" s="1445" t="s">
        <v>556</v>
      </c>
      <c r="H2" s="1446"/>
      <c r="I2" s="1446"/>
      <c r="J2" s="1446"/>
      <c r="K2" s="1447"/>
    </row>
    <row r="3" spans="1:15" s="330" customFormat="1" ht="18" customHeight="1">
      <c r="A3" s="1441"/>
      <c r="B3" s="200" t="s">
        <v>581</v>
      </c>
      <c r="C3" s="726" t="s">
        <v>582</v>
      </c>
      <c r="D3" s="526" t="s">
        <v>587</v>
      </c>
      <c r="E3" s="526" t="s">
        <v>584</v>
      </c>
      <c r="F3" s="526" t="s">
        <v>585</v>
      </c>
      <c r="G3" s="526" t="s">
        <v>581</v>
      </c>
      <c r="H3" s="526" t="s">
        <v>582</v>
      </c>
      <c r="I3" s="526" t="s">
        <v>583</v>
      </c>
      <c r="J3" s="526" t="s">
        <v>584</v>
      </c>
      <c r="K3" s="526" t="s">
        <v>585</v>
      </c>
    </row>
    <row r="4" spans="1:15" s="97" customFormat="1" ht="16.5" customHeight="1">
      <c r="A4" s="679" t="s">
        <v>518</v>
      </c>
      <c r="B4" s="727">
        <v>619188.15919525002</v>
      </c>
      <c r="C4" s="728">
        <v>4685370.8459481057</v>
      </c>
      <c r="D4" s="728">
        <v>1501948.9385291443</v>
      </c>
      <c r="E4" s="728">
        <v>222220.96535619488</v>
      </c>
      <c r="F4" s="728">
        <v>173012.63311431001</v>
      </c>
      <c r="G4" s="191">
        <v>19093760.92444725</v>
      </c>
      <c r="H4" s="728">
        <v>7358692.7990452508</v>
      </c>
      <c r="I4" s="728">
        <v>1360063.1282590001</v>
      </c>
      <c r="J4" s="728">
        <v>122684.10330375</v>
      </c>
      <c r="K4" s="728">
        <v>7094.0754217499998</v>
      </c>
    </row>
    <row r="5" spans="1:15" s="97" customFormat="1" ht="16.5" customHeight="1">
      <c r="A5" s="682" t="s">
        <v>743</v>
      </c>
      <c r="B5" s="694">
        <f t="shared" ref="B5:K5" si="0">SUM(B6:B17)</f>
        <v>31836.9744522685</v>
      </c>
      <c r="C5" s="694">
        <f t="shared" si="0"/>
        <v>443603.98627429968</v>
      </c>
      <c r="D5" s="694">
        <f t="shared" si="0"/>
        <v>99246.046750629263</v>
      </c>
      <c r="E5" s="694">
        <f t="shared" si="0"/>
        <v>4435.2619412499989</v>
      </c>
      <c r="F5" s="694">
        <f t="shared" si="0"/>
        <v>6779.7208947500067</v>
      </c>
      <c r="G5" s="694">
        <f t="shared" si="0"/>
        <v>57232.363930999985</v>
      </c>
      <c r="H5" s="694">
        <f t="shared" si="0"/>
        <v>91671.574557999978</v>
      </c>
      <c r="I5" s="694">
        <f t="shared" si="0"/>
        <v>14968.266011000003</v>
      </c>
      <c r="J5" s="694">
        <f t="shared" si="0"/>
        <v>3546.3835277500007</v>
      </c>
      <c r="K5" s="694">
        <f t="shared" si="0"/>
        <v>406.35939024999999</v>
      </c>
      <c r="L5" s="98"/>
      <c r="M5" s="98"/>
      <c r="N5" s="157"/>
      <c r="O5" s="158"/>
    </row>
    <row r="6" spans="1:15" s="330" customFormat="1" ht="16.5" customHeight="1">
      <c r="A6" s="174">
        <v>45412</v>
      </c>
      <c r="B6" s="321">
        <v>2881.8392305000002</v>
      </c>
      <c r="C6" s="321">
        <v>160682.56208672433</v>
      </c>
      <c r="D6" s="321">
        <v>45518.748263879817</v>
      </c>
      <c r="E6" s="321">
        <v>2917.7947239999994</v>
      </c>
      <c r="F6" s="321">
        <v>5437.4272440000068</v>
      </c>
      <c r="G6" s="321">
        <v>54900.824904749985</v>
      </c>
      <c r="H6" s="321">
        <v>82105.088391749989</v>
      </c>
      <c r="I6" s="321">
        <v>13265.001724250002</v>
      </c>
      <c r="J6" s="321">
        <v>3541.6720505000003</v>
      </c>
      <c r="K6" s="320">
        <v>375.64347524999999</v>
      </c>
      <c r="L6" s="104"/>
      <c r="M6" s="157"/>
      <c r="N6" s="157"/>
      <c r="O6" s="158"/>
    </row>
    <row r="7" spans="1:15" s="330" customFormat="1" ht="16.5" customHeight="1">
      <c r="A7" s="174">
        <v>45443</v>
      </c>
      <c r="B7" s="321">
        <v>28953.808095518496</v>
      </c>
      <c r="C7" s="321">
        <v>75037.492755135987</v>
      </c>
      <c r="D7" s="321">
        <v>125.46981049999999</v>
      </c>
      <c r="E7" s="321">
        <v>531.01790325000002</v>
      </c>
      <c r="F7" s="321">
        <v>502.71215499999994</v>
      </c>
      <c r="G7" s="321">
        <v>2253.3843769999999</v>
      </c>
      <c r="H7" s="321">
        <v>3540.1047944999996</v>
      </c>
      <c r="I7" s="321">
        <v>0</v>
      </c>
      <c r="J7" s="321">
        <v>0</v>
      </c>
      <c r="K7" s="320">
        <v>27.615787999999998</v>
      </c>
      <c r="L7" s="104"/>
      <c r="M7" s="157"/>
      <c r="N7" s="157"/>
      <c r="O7" s="158"/>
    </row>
    <row r="8" spans="1:15" s="330" customFormat="1" ht="16.5" customHeight="1">
      <c r="A8" s="174">
        <v>45473</v>
      </c>
      <c r="B8" s="321">
        <v>4.1729000000000002E-2</v>
      </c>
      <c r="C8" s="321">
        <v>83575.053086768166</v>
      </c>
      <c r="D8" s="321">
        <v>25076.659561358545</v>
      </c>
      <c r="E8" s="321">
        <v>389.94100775000004</v>
      </c>
      <c r="F8" s="321">
        <v>270.36145599999992</v>
      </c>
      <c r="G8" s="321">
        <v>55.23289900000001</v>
      </c>
      <c r="H8" s="321">
        <v>3220.9740507499992</v>
      </c>
      <c r="I8" s="321">
        <v>647.45904300000007</v>
      </c>
      <c r="J8" s="321">
        <v>1.0430699999999999</v>
      </c>
      <c r="K8" s="320">
        <v>3.0918145000000004</v>
      </c>
      <c r="L8" s="104"/>
      <c r="M8" s="157"/>
      <c r="N8" s="157"/>
      <c r="O8" s="158"/>
    </row>
    <row r="9" spans="1:15" s="330" customFormat="1" ht="16.5" customHeight="1">
      <c r="A9" s="174">
        <v>45504</v>
      </c>
      <c r="B9" s="321">
        <v>0.41903750000000001</v>
      </c>
      <c r="C9" s="321">
        <v>33185.635814308131</v>
      </c>
      <c r="D9" s="321">
        <v>11751.722607733509</v>
      </c>
      <c r="E9" s="321">
        <v>351.79797424999998</v>
      </c>
      <c r="F9" s="321">
        <v>316.86098825000005</v>
      </c>
      <c r="G9" s="321">
        <v>8.0968350000000004</v>
      </c>
      <c r="H9" s="321">
        <v>1461.6090860000004</v>
      </c>
      <c r="I9" s="321">
        <v>547.51209674999996</v>
      </c>
      <c r="J9" s="321">
        <v>0.9352975</v>
      </c>
      <c r="K9" s="321">
        <v>0</v>
      </c>
      <c r="L9" s="104"/>
      <c r="M9" s="157"/>
      <c r="N9" s="157"/>
      <c r="O9" s="158"/>
    </row>
    <row r="10" spans="1:15" s="330" customFormat="1" ht="16.5" customHeight="1">
      <c r="A10" s="174">
        <v>45535</v>
      </c>
      <c r="B10" s="321">
        <v>0.86635974999999998</v>
      </c>
      <c r="C10" s="321">
        <v>91123.24253136311</v>
      </c>
      <c r="D10" s="321">
        <v>16773.446507157398</v>
      </c>
      <c r="E10" s="321">
        <v>244.71033200000002</v>
      </c>
      <c r="F10" s="321">
        <v>252.35905149999999</v>
      </c>
      <c r="G10" s="321">
        <v>14.824915249999998</v>
      </c>
      <c r="H10" s="321">
        <v>1343.798235</v>
      </c>
      <c r="I10" s="321">
        <v>508.29314699999998</v>
      </c>
      <c r="J10" s="321">
        <v>2.7331097499999997</v>
      </c>
      <c r="K10" s="321">
        <v>8.3125000000000004E-3</v>
      </c>
      <c r="L10" s="104"/>
      <c r="M10" s="157"/>
      <c r="N10" s="157"/>
      <c r="O10" s="158"/>
    </row>
    <row r="11" spans="1:15" s="330" customFormat="1">
      <c r="A11" s="174">
        <v>45565</v>
      </c>
      <c r="B11" s="321"/>
      <c r="C11" s="321"/>
      <c r="D11" s="321"/>
      <c r="E11" s="321"/>
      <c r="F11" s="321"/>
      <c r="G11" s="321"/>
      <c r="H11" s="317"/>
      <c r="I11" s="321"/>
      <c r="J11" s="321"/>
      <c r="K11" s="320"/>
      <c r="L11" s="104"/>
      <c r="M11" s="157"/>
      <c r="N11" s="157"/>
      <c r="O11" s="158"/>
    </row>
    <row r="12" spans="1:15" s="330" customFormat="1">
      <c r="A12" s="174">
        <v>45596</v>
      </c>
      <c r="B12" s="321"/>
      <c r="C12" s="321"/>
      <c r="D12" s="321"/>
      <c r="E12" s="321"/>
      <c r="F12" s="321"/>
      <c r="G12" s="321"/>
      <c r="H12" s="317"/>
      <c r="I12" s="321"/>
      <c r="J12" s="321"/>
      <c r="K12" s="320"/>
      <c r="L12" s="104"/>
      <c r="M12" s="157"/>
      <c r="N12" s="157"/>
      <c r="O12" s="158"/>
    </row>
    <row r="13" spans="1:15" s="330" customFormat="1">
      <c r="A13" s="174">
        <v>45626</v>
      </c>
      <c r="B13" s="321"/>
      <c r="C13" s="321"/>
      <c r="D13" s="321"/>
      <c r="E13" s="321"/>
      <c r="F13" s="321"/>
      <c r="G13" s="321"/>
      <c r="H13" s="317"/>
      <c r="I13" s="321"/>
      <c r="J13" s="321"/>
      <c r="K13" s="320"/>
    </row>
    <row r="14" spans="1:15" s="330" customFormat="1">
      <c r="A14" s="174">
        <v>45657</v>
      </c>
      <c r="B14" s="321"/>
      <c r="C14" s="321"/>
      <c r="D14" s="321"/>
      <c r="E14" s="321"/>
      <c r="F14" s="321"/>
      <c r="G14" s="321"/>
      <c r="H14" s="317"/>
      <c r="I14" s="321"/>
      <c r="J14" s="321"/>
      <c r="K14" s="320"/>
    </row>
    <row r="15" spans="1:15" s="330" customFormat="1">
      <c r="A15" s="174">
        <v>45688</v>
      </c>
      <c r="B15" s="321"/>
      <c r="C15" s="321"/>
      <c r="D15" s="321"/>
      <c r="E15" s="321"/>
      <c r="F15" s="321"/>
      <c r="G15" s="321"/>
      <c r="H15" s="317"/>
      <c r="I15" s="321"/>
      <c r="J15" s="321"/>
      <c r="K15" s="320"/>
    </row>
    <row r="16" spans="1:15" s="330" customFormat="1">
      <c r="A16" s="174">
        <v>45716</v>
      </c>
      <c r="B16" s="321"/>
      <c r="C16" s="321"/>
      <c r="D16" s="321"/>
      <c r="E16" s="321"/>
      <c r="F16" s="321"/>
      <c r="G16" s="321"/>
      <c r="H16" s="317"/>
      <c r="I16" s="321"/>
      <c r="J16" s="321"/>
      <c r="K16" s="320"/>
    </row>
    <row r="17" spans="1:15" s="330" customFormat="1">
      <c r="A17" s="174">
        <v>45747</v>
      </c>
      <c r="B17" s="327"/>
      <c r="C17" s="327"/>
      <c r="D17" s="327"/>
      <c r="E17" s="327"/>
      <c r="F17" s="327"/>
      <c r="G17" s="327"/>
      <c r="H17" s="318"/>
      <c r="I17" s="318"/>
      <c r="J17" s="346"/>
      <c r="K17" s="346"/>
    </row>
    <row r="18" spans="1:15" s="330" customFormat="1">
      <c r="A18" s="743" t="str">
        <f>"$ indicates as on "&amp;TEXT(IF(COUNT(B6:B17)=1,A6,IF(COUNT(B6:B17)=2,A7,IF(COUNT(B6:B17)=3,A8,IF(COUNT(B6:B17)=4,A9,IF(COUNT(B6:B17)=5,A10,IF(COUNT(B6:B17)=6,A11,IF(COUNT(B6:B17)=7,A12,IF(COUNT(B6:B17)=8,A13,IF(COUNT(B6:B17)=9,A14,IF(COUNT(B6:B17)=10,A15,IF(COUNT(B6:B17)=11,A16,A17))))))))))),"mmmm dd, yyyy")</f>
        <v>$ indicates as on August 31, 2024</v>
      </c>
      <c r="L18" s="104"/>
      <c r="M18" s="157"/>
      <c r="N18" s="157"/>
      <c r="O18" s="158"/>
    </row>
    <row r="19" spans="1:15" s="330" customFormat="1" ht="15" customHeight="1">
      <c r="A19" s="1448" t="s">
        <v>588</v>
      </c>
      <c r="B19" s="1448"/>
      <c r="C19" s="1448"/>
      <c r="D19" s="1448"/>
      <c r="E19" s="1448"/>
      <c r="F19" s="1448"/>
      <c r="G19" s="1448"/>
      <c r="H19" s="1448"/>
      <c r="I19" s="1448"/>
      <c r="J19" s="1448"/>
      <c r="K19" s="1448"/>
      <c r="L19" s="104"/>
    </row>
    <row r="20" spans="1:15" s="330" customFormat="1">
      <c r="A20" s="330" t="s">
        <v>307</v>
      </c>
    </row>
    <row r="21" spans="1:15" s="330" customFormat="1">
      <c r="A21" s="419"/>
    </row>
    <row r="22" spans="1:15" s="330" customFormat="1">
      <c r="A22" s="92"/>
      <c r="B22" s="158"/>
      <c r="C22" s="158"/>
      <c r="D22" s="158"/>
      <c r="E22" s="158"/>
      <c r="F22" s="158"/>
      <c r="G22" s="158"/>
      <c r="H22" s="158"/>
      <c r="J22" s="158"/>
      <c r="K22" s="158"/>
    </row>
    <row r="23" spans="1:15">
      <c r="F23" s="115"/>
      <c r="K23" s="115"/>
    </row>
    <row r="24" spans="1:15">
      <c r="F24" s="115"/>
      <c r="K24" s="115"/>
    </row>
    <row r="25" spans="1:15">
      <c r="F25" s="115"/>
      <c r="K25" s="115"/>
    </row>
    <row r="26" spans="1:15">
      <c r="F26" s="115"/>
      <c r="K26" s="115"/>
    </row>
    <row r="27" spans="1:15">
      <c r="E27" s="115"/>
      <c r="F27" s="115"/>
      <c r="K27" s="115"/>
    </row>
    <row r="28" spans="1:15">
      <c r="F28" s="115"/>
    </row>
  </sheetData>
  <mergeCells count="4">
    <mergeCell ref="A2:A3"/>
    <mergeCell ref="B2:F2"/>
    <mergeCell ref="G2:K2"/>
    <mergeCell ref="A19:K19"/>
  </mergeCells>
  <printOptions horizontalCentered="1"/>
  <pageMargins left="0.78431372549019618" right="0.78431372549019618" top="0.98039215686274517" bottom="0.98039215686274517" header="0.50980392156862753" footer="0.50980392156862753"/>
  <pageSetup paperSize="9" scale="95" orientation="landscape" useFirstPageNumber="1" r:id="rId1"/>
  <headerFooter alignWithMargins="0"/>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21"/>
  <sheetViews>
    <sheetView workbookViewId="0"/>
  </sheetViews>
  <sheetFormatPr defaultColWidth="9.140625" defaultRowHeight="15"/>
  <cols>
    <col min="1" max="1" width="12.140625" style="92" bestFit="1" customWidth="1"/>
    <col min="2" max="2" width="12.140625" style="92" customWidth="1"/>
    <col min="3" max="6" width="12.140625" style="92" bestFit="1" customWidth="1"/>
    <col min="7" max="7" width="12.140625" style="92" customWidth="1"/>
    <col min="8" max="11" width="12.140625" style="92" bestFit="1" customWidth="1"/>
    <col min="12" max="12" width="4.5703125" style="92" bestFit="1" customWidth="1"/>
    <col min="13" max="16384" width="9.140625" style="92"/>
  </cols>
  <sheetData>
    <row r="1" spans="1:11" ht="18" customHeight="1">
      <c r="A1" s="222" t="s">
        <v>589</v>
      </c>
      <c r="B1" s="222"/>
      <c r="C1" s="222"/>
      <c r="D1" s="222"/>
      <c r="E1" s="222"/>
      <c r="F1" s="222"/>
      <c r="G1" s="222"/>
      <c r="H1" s="222"/>
      <c r="I1" s="222"/>
      <c r="J1" s="222"/>
      <c r="K1" s="222"/>
    </row>
    <row r="2" spans="1:11" s="330" customFormat="1" ht="18" customHeight="1">
      <c r="A2" s="1440" t="s">
        <v>170</v>
      </c>
      <c r="B2" s="1442" t="s">
        <v>549</v>
      </c>
      <c r="C2" s="1443"/>
      <c r="D2" s="1443"/>
      <c r="E2" s="1443"/>
      <c r="F2" s="1444"/>
      <c r="G2" s="1445" t="s">
        <v>556</v>
      </c>
      <c r="H2" s="1446"/>
      <c r="I2" s="1446"/>
      <c r="J2" s="1446"/>
      <c r="K2" s="1447"/>
    </row>
    <row r="3" spans="1:11" s="330" customFormat="1" ht="18" customHeight="1">
      <c r="A3" s="1441"/>
      <c r="B3" s="200" t="s">
        <v>581</v>
      </c>
      <c r="C3" s="726" t="s">
        <v>582</v>
      </c>
      <c r="D3" s="526" t="s">
        <v>587</v>
      </c>
      <c r="E3" s="526" t="s">
        <v>584</v>
      </c>
      <c r="F3" s="526" t="s">
        <v>585</v>
      </c>
      <c r="G3" s="526" t="s">
        <v>581</v>
      </c>
      <c r="H3" s="526" t="s">
        <v>582</v>
      </c>
      <c r="I3" s="526" t="s">
        <v>583</v>
      </c>
      <c r="J3" s="526" t="s">
        <v>584</v>
      </c>
      <c r="K3" s="526" t="s">
        <v>585</v>
      </c>
    </row>
    <row r="4" spans="1:11" s="97" customFormat="1" ht="17.25" customHeight="1">
      <c r="A4" s="679" t="s">
        <v>518</v>
      </c>
      <c r="B4" s="727">
        <v>14.802290500000003</v>
      </c>
      <c r="C4" s="728">
        <v>145944.96059725003</v>
      </c>
      <c r="D4" s="728">
        <v>72897.092392749997</v>
      </c>
      <c r="E4" s="728">
        <v>28876.607645249998</v>
      </c>
      <c r="F4" s="728">
        <v>4.5848877499999992</v>
      </c>
      <c r="G4" s="191">
        <v>0</v>
      </c>
      <c r="H4" s="728">
        <v>0</v>
      </c>
      <c r="I4" s="728">
        <v>0</v>
      </c>
      <c r="J4" s="728">
        <v>0</v>
      </c>
      <c r="K4" s="728">
        <v>0</v>
      </c>
    </row>
    <row r="5" spans="1:11" s="97" customFormat="1" ht="17.25" customHeight="1">
      <c r="A5" s="682" t="s">
        <v>743</v>
      </c>
      <c r="B5" s="694">
        <f t="shared" ref="B5:K5" si="0">SUM(B6:B17)</f>
        <v>0.78358949999999994</v>
      </c>
      <c r="C5" s="694">
        <f t="shared" si="0"/>
        <v>5571.7002375000002</v>
      </c>
      <c r="D5" s="694">
        <f t="shared" si="0"/>
        <v>2156.1633980000001</v>
      </c>
      <c r="E5" s="694">
        <f t="shared" si="0"/>
        <v>0.10031799999999999</v>
      </c>
      <c r="F5" s="694">
        <f t="shared" si="0"/>
        <v>0</v>
      </c>
      <c r="G5" s="694">
        <f t="shared" si="0"/>
        <v>0</v>
      </c>
      <c r="H5" s="694">
        <f t="shared" si="0"/>
        <v>0</v>
      </c>
      <c r="I5" s="694">
        <f t="shared" si="0"/>
        <v>0</v>
      </c>
      <c r="J5" s="694">
        <f t="shared" si="0"/>
        <v>0</v>
      </c>
      <c r="K5" s="694">
        <f t="shared" si="0"/>
        <v>0</v>
      </c>
    </row>
    <row r="6" spans="1:11" s="330" customFormat="1" ht="17.25" customHeight="1">
      <c r="A6" s="174">
        <v>45412</v>
      </c>
      <c r="B6" s="321">
        <v>0.78358949999999994</v>
      </c>
      <c r="C6" s="321">
        <v>3389.2969875000008</v>
      </c>
      <c r="D6" s="321">
        <v>1921.8953980000001</v>
      </c>
      <c r="E6" s="321">
        <v>0.10031799999999999</v>
      </c>
      <c r="F6" s="321">
        <v>0</v>
      </c>
      <c r="G6" s="321">
        <v>0</v>
      </c>
      <c r="H6" s="317">
        <v>0</v>
      </c>
      <c r="I6" s="321">
        <v>0</v>
      </c>
      <c r="J6" s="321">
        <v>0</v>
      </c>
      <c r="K6" s="320">
        <v>0</v>
      </c>
    </row>
    <row r="7" spans="1:11" s="330" customFormat="1" ht="17.25" customHeight="1">
      <c r="A7" s="174">
        <v>45443</v>
      </c>
      <c r="B7" s="321">
        <v>0</v>
      </c>
      <c r="C7" s="321">
        <v>1001.7</v>
      </c>
      <c r="D7" s="321">
        <v>0</v>
      </c>
      <c r="E7" s="321">
        <v>0</v>
      </c>
      <c r="F7" s="321">
        <v>0</v>
      </c>
      <c r="G7" s="321">
        <v>0</v>
      </c>
      <c r="H7" s="317">
        <v>0</v>
      </c>
      <c r="I7" s="321">
        <v>0</v>
      </c>
      <c r="J7" s="321">
        <v>0</v>
      </c>
      <c r="K7" s="320">
        <v>0</v>
      </c>
    </row>
    <row r="8" spans="1:11" s="330" customFormat="1" ht="17.25" customHeight="1">
      <c r="A8" s="174">
        <v>45473</v>
      </c>
      <c r="B8" s="321">
        <v>0</v>
      </c>
      <c r="C8" s="321">
        <v>417.30624999999998</v>
      </c>
      <c r="D8" s="321">
        <v>234.268</v>
      </c>
      <c r="E8" s="321">
        <v>0</v>
      </c>
      <c r="F8" s="321">
        <v>0</v>
      </c>
      <c r="G8" s="321">
        <v>0</v>
      </c>
      <c r="H8" s="317">
        <v>0</v>
      </c>
      <c r="I8" s="321">
        <v>0</v>
      </c>
      <c r="J8" s="321">
        <v>0</v>
      </c>
      <c r="K8" s="320">
        <v>0</v>
      </c>
    </row>
    <row r="9" spans="1:11" s="330" customFormat="1" ht="17.25" customHeight="1">
      <c r="A9" s="174">
        <v>45504</v>
      </c>
      <c r="B9" s="321">
        <v>0</v>
      </c>
      <c r="C9" s="321">
        <v>175.78450000000001</v>
      </c>
      <c r="D9" s="321">
        <v>0</v>
      </c>
      <c r="E9" s="321">
        <v>0</v>
      </c>
      <c r="F9" s="321">
        <v>0</v>
      </c>
      <c r="G9" s="321">
        <v>0</v>
      </c>
      <c r="H9" s="317">
        <v>0</v>
      </c>
      <c r="I9" s="321">
        <v>0</v>
      </c>
      <c r="J9" s="321">
        <v>0</v>
      </c>
      <c r="K9" s="320">
        <v>0</v>
      </c>
    </row>
    <row r="10" spans="1:11" s="330" customFormat="1" ht="17.25" customHeight="1">
      <c r="A10" s="174">
        <v>45535</v>
      </c>
      <c r="B10" s="321">
        <v>0</v>
      </c>
      <c r="C10" s="321">
        <v>587.61249999999995</v>
      </c>
      <c r="D10" s="321">
        <v>0</v>
      </c>
      <c r="E10" s="321">
        <v>0</v>
      </c>
      <c r="F10" s="321">
        <v>0</v>
      </c>
      <c r="G10" s="321">
        <v>0</v>
      </c>
      <c r="H10" s="317">
        <v>0</v>
      </c>
      <c r="I10" s="321">
        <v>0</v>
      </c>
      <c r="J10" s="321">
        <v>0</v>
      </c>
      <c r="K10" s="320">
        <v>0</v>
      </c>
    </row>
    <row r="11" spans="1:11" s="330" customFormat="1">
      <c r="A11" s="174">
        <v>45565</v>
      </c>
      <c r="B11" s="321"/>
      <c r="C11" s="321"/>
      <c r="D11" s="321"/>
      <c r="E11" s="321"/>
      <c r="F11" s="321"/>
      <c r="G11" s="321"/>
      <c r="H11" s="317"/>
      <c r="I11" s="321"/>
      <c r="J11" s="321"/>
      <c r="K11" s="320"/>
    </row>
    <row r="12" spans="1:11" s="330" customFormat="1" ht="13.5" customHeight="1">
      <c r="A12" s="174">
        <v>45596</v>
      </c>
      <c r="B12" s="321"/>
      <c r="C12" s="321"/>
      <c r="D12" s="321"/>
      <c r="E12" s="321"/>
      <c r="F12" s="321"/>
      <c r="G12" s="321"/>
      <c r="H12" s="317"/>
      <c r="I12" s="321"/>
      <c r="J12" s="321"/>
      <c r="K12" s="320"/>
    </row>
    <row r="13" spans="1:11" s="330" customFormat="1">
      <c r="A13" s="174">
        <v>45626</v>
      </c>
      <c r="B13" s="327"/>
      <c r="C13" s="327"/>
      <c r="D13" s="327"/>
      <c r="E13" s="327"/>
      <c r="F13" s="322"/>
      <c r="G13" s="322"/>
      <c r="H13" s="318"/>
      <c r="I13" s="318"/>
      <c r="J13" s="319"/>
      <c r="K13" s="319"/>
    </row>
    <row r="14" spans="1:11" s="330" customFormat="1">
      <c r="A14" s="174">
        <v>45657</v>
      </c>
      <c r="B14" s="327"/>
      <c r="C14" s="327"/>
      <c r="D14" s="327"/>
      <c r="E14" s="327"/>
      <c r="F14" s="322"/>
      <c r="G14" s="322"/>
      <c r="H14" s="318"/>
      <c r="I14" s="318"/>
      <c r="J14" s="319"/>
      <c r="K14" s="319"/>
    </row>
    <row r="15" spans="1:11" s="330" customFormat="1">
      <c r="A15" s="174">
        <v>45688</v>
      </c>
      <c r="B15" s="327"/>
      <c r="C15" s="327"/>
      <c r="D15" s="327"/>
      <c r="E15" s="327"/>
      <c r="F15" s="322"/>
      <c r="G15" s="322"/>
      <c r="H15" s="318"/>
      <c r="I15" s="318"/>
      <c r="J15" s="319"/>
      <c r="K15" s="319"/>
    </row>
    <row r="16" spans="1:11" s="330" customFormat="1">
      <c r="A16" s="174">
        <v>45716</v>
      </c>
      <c r="B16" s="327"/>
      <c r="C16" s="327"/>
      <c r="D16" s="327"/>
      <c r="E16" s="327"/>
      <c r="F16" s="321"/>
      <c r="G16" s="322"/>
      <c r="H16" s="318"/>
      <c r="I16" s="318"/>
      <c r="J16" s="319"/>
      <c r="K16" s="319"/>
    </row>
    <row r="17" spans="1:11" s="330" customFormat="1">
      <c r="A17" s="174">
        <v>45747</v>
      </c>
      <c r="B17" s="327"/>
      <c r="C17" s="327"/>
      <c r="D17" s="327"/>
      <c r="E17" s="327"/>
      <c r="F17" s="348"/>
      <c r="G17" s="322"/>
      <c r="H17" s="318"/>
      <c r="I17" s="318"/>
      <c r="J17" s="319"/>
      <c r="K17" s="319"/>
    </row>
    <row r="18" spans="1:11" s="330" customFormat="1">
      <c r="A18" s="743" t="str">
        <f>"$ indicates as on "&amp;TEXT(IF(COUNT(B6:B17)=1,A6,IF(COUNT(B6:B17)=2,A7,IF(COUNT(B6:B17)=3,A8,IF(COUNT(B6:B17)=4,A9,IF(COUNT(B6:B17)=5,A10,IF(COUNT(B6:B17)=6,A11,IF(COUNT(B6:B17)=7,A12,IF(COUNT(B6:B17)=8,A13,IF(COUNT(B6:B17)=9,A14,IF(COUNT(B6:B17)=10,A15,IF(COUNT(B6:B17)=11,A16,A17))))))))))),"mmmm dd, yyyy")</f>
        <v>$ indicates as on August 31, 2024</v>
      </c>
      <c r="B18" s="160"/>
      <c r="C18" s="161"/>
      <c r="D18" s="161"/>
      <c r="E18" s="160"/>
      <c r="F18" s="160"/>
      <c r="G18" s="160"/>
      <c r="H18" s="162"/>
      <c r="I18" s="162"/>
      <c r="J18" s="162"/>
      <c r="K18" s="160"/>
    </row>
    <row r="19" spans="1:11" s="330" customFormat="1" ht="15" customHeight="1">
      <c r="A19" s="1322" t="s">
        <v>275</v>
      </c>
      <c r="B19" s="1322"/>
      <c r="C19" s="1322"/>
      <c r="D19" s="1322"/>
      <c r="E19" s="1322"/>
      <c r="F19" s="1322"/>
      <c r="G19" s="1322"/>
      <c r="H19" s="1322"/>
      <c r="I19" s="1322"/>
      <c r="J19" s="1322"/>
      <c r="K19" s="1322"/>
    </row>
    <row r="20" spans="1:11" s="330" customFormat="1" ht="15" customHeight="1">
      <c r="A20" s="419"/>
      <c r="B20" s="158"/>
      <c r="C20" s="158"/>
      <c r="D20" s="158"/>
      <c r="E20" s="158"/>
      <c r="F20" s="158"/>
    </row>
    <row r="21" spans="1:11" s="330" customFormat="1">
      <c r="A21" s="92"/>
      <c r="B21" s="115"/>
      <c r="C21" s="115"/>
      <c r="D21" s="115"/>
      <c r="E21" s="115"/>
      <c r="F21" s="115"/>
      <c r="G21" s="115"/>
      <c r="H21" s="115"/>
      <c r="I21" s="115"/>
      <c r="J21" s="115"/>
      <c r="K21" s="115"/>
    </row>
  </sheetData>
  <mergeCells count="4">
    <mergeCell ref="A2:A3"/>
    <mergeCell ref="B2:F2"/>
    <mergeCell ref="G2:K2"/>
    <mergeCell ref="A19:K19"/>
  </mergeCells>
  <printOptions horizontalCentered="1"/>
  <pageMargins left="0.78431372549019618" right="0.78431372549019618" top="0.98039215686274517" bottom="0.98039215686274517" header="0.50980392156862753" footer="0.50980392156862753"/>
  <pageSetup paperSize="9" scale="96" orientation="landscape" useFirstPageNumber="1" r:id="rId1"/>
  <headerFooter alignWithMargins="0"/>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29"/>
  <sheetViews>
    <sheetView workbookViewId="0"/>
  </sheetViews>
  <sheetFormatPr defaultColWidth="9.140625" defaultRowHeight="15"/>
  <cols>
    <col min="1" max="1" width="12.140625" style="92" bestFit="1" customWidth="1"/>
    <col min="2" max="2" width="13.42578125" style="92" customWidth="1"/>
    <col min="3" max="14" width="13.7109375" style="92" customWidth="1"/>
    <col min="15" max="15" width="6.140625" style="92" bestFit="1" customWidth="1"/>
    <col min="16" max="16384" width="9.140625" style="92"/>
  </cols>
  <sheetData>
    <row r="1" spans="1:14">
      <c r="A1" s="222" t="s">
        <v>47</v>
      </c>
      <c r="B1" s="222"/>
      <c r="C1" s="222"/>
      <c r="D1" s="222"/>
      <c r="E1" s="222"/>
      <c r="F1" s="222"/>
      <c r="G1" s="222"/>
      <c r="H1" s="222"/>
      <c r="I1" s="222"/>
      <c r="J1" s="222"/>
      <c r="K1" s="222"/>
      <c r="L1" s="222"/>
      <c r="M1" s="222"/>
      <c r="N1" s="222"/>
    </row>
    <row r="2" spans="1:14" s="330" customFormat="1">
      <c r="A2" s="1406" t="s">
        <v>142</v>
      </c>
      <c r="B2" s="1406" t="s">
        <v>242</v>
      </c>
      <c r="C2" s="1408" t="s">
        <v>73</v>
      </c>
      <c r="D2" s="1409"/>
      <c r="E2" s="1409"/>
      <c r="F2" s="1410"/>
      <c r="G2" s="1408" t="s">
        <v>74</v>
      </c>
      <c r="H2" s="1409"/>
      <c r="I2" s="1409"/>
      <c r="J2" s="1410"/>
      <c r="K2" s="1408" t="s">
        <v>75</v>
      </c>
      <c r="L2" s="1409"/>
      <c r="M2" s="1409"/>
      <c r="N2" s="1410"/>
    </row>
    <row r="3" spans="1:14" s="330" customFormat="1">
      <c r="A3" s="1407"/>
      <c r="B3" s="1407"/>
      <c r="C3" s="1408" t="s">
        <v>590</v>
      </c>
      <c r="D3" s="1410"/>
      <c r="E3" s="1411" t="s">
        <v>591</v>
      </c>
      <c r="F3" s="1414"/>
      <c r="G3" s="1408" t="s">
        <v>590</v>
      </c>
      <c r="H3" s="1410"/>
      <c r="I3" s="1411" t="s">
        <v>591</v>
      </c>
      <c r="J3" s="1414"/>
      <c r="K3" s="1408" t="s">
        <v>592</v>
      </c>
      <c r="L3" s="1410"/>
      <c r="M3" s="1408" t="s">
        <v>593</v>
      </c>
      <c r="N3" s="1410"/>
    </row>
    <row r="4" spans="1:14" s="330" customFormat="1" ht="30">
      <c r="A4" s="1314"/>
      <c r="B4" s="1314"/>
      <c r="C4" s="492" t="s">
        <v>514</v>
      </c>
      <c r="D4" s="506" t="s">
        <v>594</v>
      </c>
      <c r="E4" s="492" t="s">
        <v>514</v>
      </c>
      <c r="F4" s="506" t="s">
        <v>554</v>
      </c>
      <c r="G4" s="492" t="s">
        <v>514</v>
      </c>
      <c r="H4" s="506" t="s">
        <v>594</v>
      </c>
      <c r="I4" s="492" t="s">
        <v>514</v>
      </c>
      <c r="J4" s="506" t="s">
        <v>554</v>
      </c>
      <c r="K4" s="492" t="s">
        <v>514</v>
      </c>
      <c r="L4" s="506" t="s">
        <v>594</v>
      </c>
      <c r="M4" s="492" t="s">
        <v>514</v>
      </c>
      <c r="N4" s="506" t="s">
        <v>554</v>
      </c>
    </row>
    <row r="5" spans="1:14" s="97" customFormat="1">
      <c r="A5" s="679" t="s">
        <v>518</v>
      </c>
      <c r="B5" s="727">
        <v>240</v>
      </c>
      <c r="C5" s="728">
        <v>1443270</v>
      </c>
      <c r="D5" s="728">
        <v>28700.029499999997</v>
      </c>
      <c r="E5" s="728">
        <v>1000</v>
      </c>
      <c r="F5" s="728">
        <v>20.143139999999999</v>
      </c>
      <c r="G5" s="191">
        <v>1471765</v>
      </c>
      <c r="H5" s="728">
        <v>29570.77</v>
      </c>
      <c r="I5" s="728">
        <v>36097</v>
      </c>
      <c r="J5" s="728">
        <v>720.77629999999999</v>
      </c>
      <c r="K5" s="320" t="s">
        <v>235</v>
      </c>
      <c r="L5" s="320" t="s">
        <v>235</v>
      </c>
      <c r="M5" s="192" t="s">
        <v>235</v>
      </c>
      <c r="N5" s="192" t="s">
        <v>235</v>
      </c>
    </row>
    <row r="6" spans="1:14" s="97" customFormat="1">
      <c r="A6" s="682" t="s">
        <v>743</v>
      </c>
      <c r="B6" s="694">
        <f>SUM(B7:B18)</f>
        <v>100</v>
      </c>
      <c r="C6" s="694">
        <f>SUM(C7:C18)</f>
        <v>0</v>
      </c>
      <c r="D6" s="694">
        <f>SUM(D7:D18)</f>
        <v>0</v>
      </c>
      <c r="E6" s="694">
        <f>INDEX(E7:E18,COUNT(E7:E18))</f>
        <v>0</v>
      </c>
      <c r="F6" s="694">
        <f>INDEX(F7:F18,COUNT(F7:F18))</f>
        <v>0</v>
      </c>
      <c r="G6" s="694">
        <f>SUM(G7:G18)</f>
        <v>481705</v>
      </c>
      <c r="H6" s="694">
        <f>SUM(H7:H18)</f>
        <v>9716.6</v>
      </c>
      <c r="I6" s="694">
        <f>INDEX(I7:I18,COUNT(I7:I18))</f>
        <v>39449</v>
      </c>
      <c r="J6" s="694">
        <f>INDEX(J7:J18,COUNT(J7:J18))</f>
        <v>796.39059999999995</v>
      </c>
      <c r="K6" s="320" t="s">
        <v>235</v>
      </c>
      <c r="L6" s="320" t="s">
        <v>235</v>
      </c>
      <c r="M6" s="192" t="s">
        <v>235</v>
      </c>
      <c r="N6" s="192" t="s">
        <v>235</v>
      </c>
    </row>
    <row r="7" spans="1:14" s="330" customFormat="1">
      <c r="A7" s="174">
        <v>45412</v>
      </c>
      <c r="B7" s="321">
        <v>18</v>
      </c>
      <c r="C7" s="389">
        <v>0</v>
      </c>
      <c r="D7" s="390">
        <v>0</v>
      </c>
      <c r="E7" s="321">
        <v>0</v>
      </c>
      <c r="F7" s="321">
        <v>0</v>
      </c>
      <c r="G7" s="321">
        <v>88690</v>
      </c>
      <c r="H7" s="321">
        <v>1772.13</v>
      </c>
      <c r="I7" s="321">
        <v>39210</v>
      </c>
      <c r="J7" s="321">
        <v>775.52210000000002</v>
      </c>
      <c r="K7" s="320"/>
      <c r="L7" s="320"/>
      <c r="M7" s="320"/>
      <c r="N7" s="320"/>
    </row>
    <row r="8" spans="1:14" s="330" customFormat="1">
      <c r="A8" s="174">
        <v>45443</v>
      </c>
      <c r="B8" s="321">
        <v>20</v>
      </c>
      <c r="C8" s="321">
        <v>0</v>
      </c>
      <c r="D8" s="321">
        <v>0</v>
      </c>
      <c r="E8" s="321">
        <v>0</v>
      </c>
      <c r="F8" s="321">
        <v>0</v>
      </c>
      <c r="G8" s="321">
        <v>111208</v>
      </c>
      <c r="H8" s="321">
        <v>2238.9899999999998</v>
      </c>
      <c r="I8" s="321">
        <v>39430</v>
      </c>
      <c r="J8" s="321">
        <v>787.33489999999995</v>
      </c>
      <c r="K8" s="320"/>
      <c r="L8" s="320"/>
      <c r="M8" s="320"/>
      <c r="N8" s="320"/>
    </row>
    <row r="9" spans="1:14" s="330" customFormat="1">
      <c r="A9" s="174">
        <v>45473</v>
      </c>
      <c r="B9" s="390">
        <v>19</v>
      </c>
      <c r="C9" s="321">
        <v>0</v>
      </c>
      <c r="D9" s="321">
        <v>0</v>
      </c>
      <c r="E9" s="321">
        <v>0</v>
      </c>
      <c r="F9" s="321">
        <v>0</v>
      </c>
      <c r="G9" s="321">
        <v>110642</v>
      </c>
      <c r="H9" s="321">
        <v>2231.21</v>
      </c>
      <c r="I9" s="321">
        <v>39728</v>
      </c>
      <c r="J9" s="321">
        <v>793.4221</v>
      </c>
      <c r="K9" s="320"/>
      <c r="L9" s="320"/>
      <c r="M9" s="320"/>
      <c r="N9" s="320"/>
    </row>
    <row r="10" spans="1:14" s="330" customFormat="1">
      <c r="A10" s="174">
        <v>45504</v>
      </c>
      <c r="B10" s="321">
        <v>22</v>
      </c>
      <c r="C10" s="321">
        <v>0</v>
      </c>
      <c r="D10" s="321">
        <v>0</v>
      </c>
      <c r="E10" s="321">
        <v>0</v>
      </c>
      <c r="F10" s="321">
        <v>0</v>
      </c>
      <c r="G10" s="321">
        <v>88299</v>
      </c>
      <c r="H10" s="321">
        <v>1785.82</v>
      </c>
      <c r="I10" s="321">
        <v>39082</v>
      </c>
      <c r="J10" s="321">
        <v>784.48360000000002</v>
      </c>
      <c r="K10" s="320"/>
      <c r="L10" s="320"/>
      <c r="M10" s="320"/>
      <c r="N10" s="320"/>
    </row>
    <row r="11" spans="1:14" s="330" customFormat="1">
      <c r="A11" s="174">
        <v>45535</v>
      </c>
      <c r="B11" s="321">
        <v>21</v>
      </c>
      <c r="C11" s="321">
        <v>0</v>
      </c>
      <c r="D11" s="321">
        <v>0</v>
      </c>
      <c r="E11" s="321">
        <v>0</v>
      </c>
      <c r="F11" s="321">
        <v>0</v>
      </c>
      <c r="G11" s="321">
        <v>82866</v>
      </c>
      <c r="H11" s="321">
        <v>1688.45</v>
      </c>
      <c r="I11" s="321">
        <v>39449</v>
      </c>
      <c r="J11" s="321">
        <v>796.39059999999995</v>
      </c>
      <c r="K11" s="320" t="s">
        <v>235</v>
      </c>
      <c r="L11" s="320" t="s">
        <v>235</v>
      </c>
      <c r="M11" s="320" t="s">
        <v>235</v>
      </c>
      <c r="N11" s="320" t="s">
        <v>235</v>
      </c>
    </row>
    <row r="12" spans="1:14" s="330" customFormat="1">
      <c r="A12" s="174">
        <v>45565</v>
      </c>
      <c r="B12" s="321"/>
      <c r="C12" s="321"/>
      <c r="D12" s="321"/>
      <c r="E12" s="321"/>
      <c r="F12" s="321"/>
      <c r="G12" s="321"/>
      <c r="H12" s="321"/>
      <c r="I12" s="321"/>
      <c r="J12" s="321"/>
      <c r="K12" s="320"/>
      <c r="L12" s="320"/>
      <c r="M12" s="320"/>
      <c r="N12" s="320"/>
    </row>
    <row r="13" spans="1:14" s="330" customFormat="1">
      <c r="A13" s="174">
        <v>45596</v>
      </c>
      <c r="B13" s="321"/>
      <c r="C13" s="321"/>
      <c r="D13" s="321"/>
      <c r="E13" s="321"/>
      <c r="F13" s="321"/>
      <c r="G13" s="321"/>
      <c r="H13" s="321"/>
      <c r="I13" s="321"/>
      <c r="J13" s="321"/>
      <c r="K13" s="320"/>
      <c r="L13" s="320"/>
      <c r="M13" s="320"/>
      <c r="N13" s="320"/>
    </row>
    <row r="14" spans="1:14" s="330" customFormat="1">
      <c r="A14" s="174">
        <v>45626</v>
      </c>
      <c r="B14" s="327"/>
      <c r="C14" s="327"/>
      <c r="D14" s="327"/>
      <c r="E14" s="327"/>
      <c r="F14" s="322"/>
      <c r="G14" s="321"/>
      <c r="H14" s="321"/>
      <c r="I14" s="321"/>
      <c r="J14" s="321"/>
      <c r="K14" s="320"/>
      <c r="L14" s="320"/>
      <c r="M14" s="320"/>
      <c r="N14" s="320"/>
    </row>
    <row r="15" spans="1:14" s="330" customFormat="1">
      <c r="A15" s="174">
        <v>45657</v>
      </c>
      <c r="B15" s="327"/>
      <c r="C15" s="327"/>
      <c r="D15" s="327"/>
      <c r="E15" s="327"/>
      <c r="F15" s="321"/>
      <c r="G15" s="321"/>
      <c r="H15" s="321"/>
      <c r="I15" s="321"/>
      <c r="J15" s="321"/>
      <c r="K15" s="320"/>
      <c r="L15" s="320"/>
      <c r="M15" s="320"/>
      <c r="N15" s="320"/>
    </row>
    <row r="16" spans="1:14" s="330" customFormat="1">
      <c r="A16" s="174">
        <v>45688</v>
      </c>
      <c r="B16" s="327"/>
      <c r="C16" s="327"/>
      <c r="D16" s="327"/>
      <c r="E16" s="327"/>
      <c r="F16" s="321"/>
      <c r="G16" s="321"/>
      <c r="H16" s="321"/>
      <c r="I16" s="321"/>
      <c r="J16" s="321"/>
      <c r="K16" s="320"/>
      <c r="L16" s="320"/>
      <c r="M16" s="320"/>
      <c r="N16" s="320"/>
    </row>
    <row r="17" spans="1:14" s="330" customFormat="1">
      <c r="A17" s="174">
        <v>45716</v>
      </c>
      <c r="B17" s="327"/>
      <c r="C17" s="327"/>
      <c r="D17" s="327"/>
      <c r="E17" s="327"/>
      <c r="F17" s="322"/>
      <c r="G17" s="321"/>
      <c r="H17" s="321"/>
      <c r="I17" s="321"/>
      <c r="J17" s="321"/>
      <c r="K17" s="320"/>
      <c r="L17" s="320"/>
      <c r="M17" s="320"/>
      <c r="N17" s="320"/>
    </row>
    <row r="18" spans="1:14" s="330" customFormat="1">
      <c r="A18" s="174">
        <v>45747</v>
      </c>
      <c r="B18" s="327"/>
      <c r="C18" s="327"/>
      <c r="D18" s="327"/>
      <c r="E18" s="327"/>
      <c r="F18" s="322"/>
      <c r="G18" s="322"/>
      <c r="H18" s="318"/>
      <c r="I18" s="318"/>
      <c r="J18" s="350"/>
      <c r="K18" s="320"/>
      <c r="L18" s="320"/>
      <c r="M18" s="320"/>
      <c r="N18" s="320"/>
    </row>
    <row r="19" spans="1:14" s="330" customFormat="1">
      <c r="A19" s="743" t="str">
        <f>"$ indicates as on "&amp;TEXT(IF(COUNT(B7:B18)=1,A7,IF(COUNT(B7:B18)=2,A8,IF(COUNT(B7:B18)=3,A9,IF(COUNT(B7:B18)=4,A10,IF(COUNT(B7:B18)=5,A11,IF(COUNT(B7:B18)=6,A12,IF(COUNT(B7:B18)=7,A13,IF(COUNT(B7:B18)=8,A14,IF(COUNT(B7:B18)=9,A15,IF(COUNT(B7:B18)=10,A16,IF(COUNT(B7:B18)=11,A17,A18))))))))))),"mmmm dd, yyyy")</f>
        <v>$ indicates as on August 31, 2024</v>
      </c>
      <c r="B19" s="391"/>
      <c r="C19" s="383"/>
      <c r="D19" s="383"/>
      <c r="E19" s="392"/>
      <c r="F19" s="383"/>
      <c r="G19" s="383"/>
      <c r="H19" s="383"/>
      <c r="I19" s="383"/>
      <c r="J19" s="383"/>
      <c r="K19" s="383"/>
      <c r="L19" s="383"/>
      <c r="M19" s="383"/>
      <c r="N19" s="383"/>
    </row>
    <row r="20" spans="1:14" s="330" customFormat="1" ht="15" customHeight="1">
      <c r="A20" s="1322" t="s">
        <v>595</v>
      </c>
      <c r="B20" s="1322"/>
      <c r="C20" s="1322"/>
      <c r="D20" s="1322"/>
      <c r="E20" s="1322"/>
      <c r="F20" s="1322"/>
      <c r="G20" s="1322"/>
      <c r="H20" s="1322"/>
      <c r="I20" s="1322"/>
      <c r="J20" s="1322"/>
      <c r="K20" s="1322"/>
      <c r="L20" s="1322"/>
      <c r="M20" s="1322"/>
      <c r="N20" s="1322"/>
    </row>
    <row r="21" spans="1:14" s="330" customFormat="1" ht="23.25" customHeight="1">
      <c r="A21" s="419"/>
      <c r="B21" s="115"/>
      <c r="C21" s="115"/>
      <c r="D21" s="115"/>
      <c r="E21" s="115"/>
      <c r="F21" s="115"/>
      <c r="G21" s="115"/>
      <c r="H21" s="115"/>
      <c r="I21" s="115"/>
      <c r="J21" s="115"/>
      <c r="K21" s="115"/>
      <c r="L21" s="115"/>
      <c r="M21" s="115"/>
      <c r="N21" s="115"/>
    </row>
    <row r="22" spans="1:14">
      <c r="B22" s="115"/>
      <c r="C22" s="115"/>
      <c r="D22" s="115"/>
      <c r="E22" s="115"/>
      <c r="F22" s="115"/>
      <c r="G22" s="115"/>
      <c r="H22" s="115"/>
      <c r="I22" s="115"/>
      <c r="J22" s="115"/>
      <c r="K22" s="115"/>
      <c r="L22" s="115"/>
      <c r="M22" s="115"/>
    </row>
    <row r="24" spans="1:14">
      <c r="E24" s="331"/>
      <c r="F24" s="331"/>
      <c r="G24" s="331"/>
      <c r="H24" s="331"/>
    </row>
    <row r="25" spans="1:14">
      <c r="E25" s="331"/>
      <c r="F25" s="331"/>
      <c r="G25" s="331"/>
      <c r="H25" s="331"/>
    </row>
    <row r="26" spans="1:14">
      <c r="E26" s="331"/>
      <c r="F26" s="331"/>
      <c r="G26" s="331"/>
      <c r="H26" s="331"/>
    </row>
    <row r="27" spans="1:14">
      <c r="E27" s="331"/>
      <c r="F27" s="331"/>
      <c r="G27" s="331"/>
      <c r="H27" s="331"/>
    </row>
    <row r="28" spans="1:14">
      <c r="E28" s="331"/>
      <c r="F28" s="331"/>
      <c r="G28" s="331"/>
      <c r="H28" s="331"/>
    </row>
    <row r="29" spans="1:14">
      <c r="E29" s="331"/>
      <c r="F29" s="331"/>
      <c r="G29" s="331"/>
      <c r="H29" s="331"/>
    </row>
  </sheetData>
  <mergeCells count="12">
    <mergeCell ref="M3:N3"/>
    <mergeCell ref="A20:N20"/>
    <mergeCell ref="A2:A4"/>
    <mergeCell ref="B2:B4"/>
    <mergeCell ref="C2:F2"/>
    <mergeCell ref="G2:J2"/>
    <mergeCell ref="K2:N2"/>
    <mergeCell ref="C3:D3"/>
    <mergeCell ref="E3:F3"/>
    <mergeCell ref="G3:H3"/>
    <mergeCell ref="I3:J3"/>
    <mergeCell ref="K3:L3"/>
  </mergeCells>
  <printOptions horizontalCentered="1"/>
  <pageMargins left="0.78431372549019618" right="0.78431372549019618" top="0.98039215686274517" bottom="0.98039215686274517" header="0.50980392156862753" footer="0.50980392156862753"/>
  <pageSetup paperSize="9" scale="67" orientation="landscape" useFirstPageNumber="1" r:id="rId1"/>
  <headerFooter alignWithMargins="0"/>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21"/>
  <sheetViews>
    <sheetView workbookViewId="0"/>
  </sheetViews>
  <sheetFormatPr defaultColWidth="9.140625" defaultRowHeight="15"/>
  <cols>
    <col min="1" max="1" width="14.5703125" style="92" bestFit="1" customWidth="1"/>
    <col min="2" max="2" width="16.5703125" style="92" bestFit="1" customWidth="1"/>
    <col min="3" max="6" width="12.140625" style="92" bestFit="1" customWidth="1"/>
    <col min="7" max="7" width="14.5703125" style="92" customWidth="1"/>
    <col min="8" max="8" width="22.140625" style="92" bestFit="1" customWidth="1"/>
    <col min="9" max="9" width="4.5703125" style="92" bestFit="1" customWidth="1"/>
    <col min="10" max="16384" width="9.140625" style="92"/>
  </cols>
  <sheetData>
    <row r="1" spans="1:9" ht="18" customHeight="1">
      <c r="A1" s="487" t="s">
        <v>596</v>
      </c>
      <c r="B1" s="487"/>
      <c r="C1" s="487"/>
      <c r="D1" s="487"/>
      <c r="E1" s="487"/>
      <c r="F1" s="487"/>
      <c r="G1" s="487"/>
      <c r="H1" s="193"/>
    </row>
    <row r="2" spans="1:9" s="330" customFormat="1" ht="18" customHeight="1">
      <c r="A2" s="1415" t="s">
        <v>142</v>
      </c>
      <c r="B2" s="1408" t="s">
        <v>73</v>
      </c>
      <c r="C2" s="1410"/>
      <c r="D2" s="1408" t="s">
        <v>74</v>
      </c>
      <c r="E2" s="1410"/>
      <c r="F2" s="1408" t="s">
        <v>75</v>
      </c>
      <c r="G2" s="1410"/>
    </row>
    <row r="3" spans="1:9" s="330" customFormat="1" ht="43.5" customHeight="1">
      <c r="A3" s="1329"/>
      <c r="B3" s="506" t="s">
        <v>528</v>
      </c>
      <c r="C3" s="527" t="s">
        <v>597</v>
      </c>
      <c r="D3" s="506" t="s">
        <v>528</v>
      </c>
      <c r="E3" s="492" t="s">
        <v>597</v>
      </c>
      <c r="F3" s="492" t="s">
        <v>598</v>
      </c>
      <c r="G3" s="492" t="s">
        <v>597</v>
      </c>
    </row>
    <row r="4" spans="1:9" s="97" customFormat="1" ht="18" customHeight="1">
      <c r="A4" s="679" t="s">
        <v>518</v>
      </c>
      <c r="B4" s="521">
        <v>135.67188899999996</v>
      </c>
      <c r="C4" s="521">
        <v>2.0217879999999999</v>
      </c>
      <c r="D4" s="521">
        <v>388.70098350000001</v>
      </c>
      <c r="E4" s="521">
        <v>5.0480749399999993</v>
      </c>
      <c r="F4" s="528">
        <v>0</v>
      </c>
      <c r="G4" s="528">
        <v>0</v>
      </c>
    </row>
    <row r="5" spans="1:9" s="97" customFormat="1" ht="18" customHeight="1">
      <c r="A5" s="682" t="s">
        <v>743</v>
      </c>
      <c r="B5" s="694">
        <f t="shared" ref="B5:G5" si="0">SUM(B6:B17)</f>
        <v>21.630652999999999</v>
      </c>
      <c r="C5" s="694">
        <f t="shared" si="0"/>
        <v>0.14211000000000001</v>
      </c>
      <c r="D5" s="694">
        <f t="shared" si="0"/>
        <v>71.227221499999999</v>
      </c>
      <c r="E5" s="694">
        <f t="shared" si="0"/>
        <v>0.46120006000000002</v>
      </c>
      <c r="F5" s="694">
        <f t="shared" si="0"/>
        <v>0</v>
      </c>
      <c r="G5" s="694">
        <f t="shared" si="0"/>
        <v>0</v>
      </c>
      <c r="H5" s="163"/>
      <c r="I5" s="163"/>
    </row>
    <row r="6" spans="1:9" s="330" customFormat="1" ht="18" customHeight="1">
      <c r="A6" s="174">
        <v>45412</v>
      </c>
      <c r="B6" s="314">
        <v>0.51230799999999999</v>
      </c>
      <c r="C6" s="314">
        <v>0</v>
      </c>
      <c r="D6" s="388">
        <v>16.1061415</v>
      </c>
      <c r="E6" s="388">
        <v>9.5859180000000002E-2</v>
      </c>
      <c r="F6" s="235">
        <v>0</v>
      </c>
      <c r="G6" s="235">
        <v>0</v>
      </c>
    </row>
    <row r="7" spans="1:9" s="330" customFormat="1" ht="18" customHeight="1">
      <c r="A7" s="174">
        <v>45443</v>
      </c>
      <c r="B7" s="314">
        <v>2.0300880000000001</v>
      </c>
      <c r="C7" s="314">
        <v>0</v>
      </c>
      <c r="D7" s="314">
        <v>18.2131945</v>
      </c>
      <c r="E7" s="314">
        <v>2.4916799999999999E-2</v>
      </c>
      <c r="F7" s="235">
        <v>0</v>
      </c>
      <c r="G7" s="235">
        <v>0</v>
      </c>
    </row>
    <row r="8" spans="1:9" s="330" customFormat="1" ht="18" customHeight="1">
      <c r="A8" s="174">
        <v>45473</v>
      </c>
      <c r="B8" s="314">
        <v>10.538827</v>
      </c>
      <c r="C8" s="314">
        <v>1.6324999999999999E-2</v>
      </c>
      <c r="D8" s="314">
        <v>19.767966000000001</v>
      </c>
      <c r="E8" s="314">
        <v>1.985234E-2</v>
      </c>
      <c r="F8" s="235">
        <v>0</v>
      </c>
      <c r="G8" s="235">
        <v>0</v>
      </c>
    </row>
    <row r="9" spans="1:9" s="330" customFormat="1" ht="18" customHeight="1">
      <c r="A9" s="174">
        <v>45504</v>
      </c>
      <c r="B9" s="314">
        <v>4.0770999999999997</v>
      </c>
      <c r="C9" s="314">
        <v>1.4985000000000002E-2</v>
      </c>
      <c r="D9" s="314">
        <v>8.4165655000000008</v>
      </c>
      <c r="E9" s="314">
        <v>0.15745086</v>
      </c>
      <c r="F9" s="235">
        <v>0</v>
      </c>
      <c r="G9" s="235">
        <v>0</v>
      </c>
    </row>
    <row r="10" spans="1:9" s="330" customFormat="1" ht="18" customHeight="1">
      <c r="A10" s="174">
        <v>45535</v>
      </c>
      <c r="B10" s="314">
        <v>4.4723300000000004</v>
      </c>
      <c r="C10" s="314">
        <v>0.11080000000000001</v>
      </c>
      <c r="D10" s="314">
        <v>8.7233540000000005</v>
      </c>
      <c r="E10" s="314">
        <v>0.16312088</v>
      </c>
      <c r="F10" s="235">
        <v>0</v>
      </c>
      <c r="G10" s="235">
        <v>0</v>
      </c>
    </row>
    <row r="11" spans="1:9" s="330" customFormat="1" ht="19.5" customHeight="1">
      <c r="A11" s="174">
        <v>45565</v>
      </c>
      <c r="B11" s="314"/>
      <c r="C11" s="314"/>
      <c r="D11" s="314"/>
      <c r="E11" s="314"/>
      <c r="F11" s="314"/>
      <c r="G11" s="314"/>
    </row>
    <row r="12" spans="1:9" s="330" customFormat="1" ht="18" customHeight="1">
      <c r="A12" s="174">
        <v>45596</v>
      </c>
      <c r="B12" s="314"/>
      <c r="C12" s="314"/>
      <c r="D12" s="314"/>
      <c r="E12" s="314"/>
      <c r="F12" s="235"/>
      <c r="G12" s="235"/>
    </row>
    <row r="13" spans="1:9" s="330" customFormat="1">
      <c r="A13" s="174">
        <v>45626</v>
      </c>
      <c r="B13" s="327"/>
      <c r="C13" s="327"/>
      <c r="D13" s="327"/>
      <c r="E13" s="327"/>
      <c r="F13" s="235"/>
      <c r="G13" s="235"/>
      <c r="H13" s="130"/>
      <c r="I13" s="130"/>
    </row>
    <row r="14" spans="1:9" s="330" customFormat="1">
      <c r="A14" s="174">
        <v>45657</v>
      </c>
      <c r="B14" s="327"/>
      <c r="C14" s="327"/>
      <c r="D14" s="327"/>
      <c r="E14" s="327"/>
      <c r="F14" s="322"/>
      <c r="G14" s="322"/>
      <c r="H14" s="130"/>
      <c r="I14" s="130"/>
    </row>
    <row r="15" spans="1:9" s="330" customFormat="1">
      <c r="A15" s="174">
        <v>45688</v>
      </c>
      <c r="B15" s="327"/>
      <c r="C15" s="327"/>
      <c r="D15" s="327"/>
      <c r="E15" s="327"/>
      <c r="F15" s="322"/>
      <c r="G15" s="322"/>
      <c r="H15" s="130"/>
      <c r="I15" s="130"/>
    </row>
    <row r="16" spans="1:9" s="330" customFormat="1">
      <c r="A16" s="174">
        <v>45716</v>
      </c>
      <c r="B16" s="327"/>
      <c r="C16" s="327"/>
      <c r="D16" s="327"/>
      <c r="E16" s="327"/>
      <c r="F16" s="322"/>
      <c r="G16" s="322"/>
      <c r="H16" s="130"/>
      <c r="I16" s="130"/>
    </row>
    <row r="17" spans="1:9" s="330" customFormat="1">
      <c r="A17" s="174">
        <v>45747</v>
      </c>
      <c r="B17" s="327"/>
      <c r="C17" s="327"/>
      <c r="D17" s="327"/>
      <c r="E17" s="327"/>
      <c r="F17" s="322"/>
      <c r="G17" s="322"/>
      <c r="H17" s="130"/>
      <c r="I17" s="130"/>
    </row>
    <row r="18" spans="1:9" s="330" customFormat="1">
      <c r="A18" s="743" t="str">
        <f>"$ indicates as on "&amp;TEXT(IF(COUNT(B6:B17)=1,A6,IF(COUNT(B6:B17)=2,A7,IF(COUNT(B6:B17)=3,A8,IF(COUNT(B6:B17)=4,A9,IF(COUNT(B6:B17)=5,A10,IF(COUNT(B6:B17)=6,A11,IF(COUNT(B6:B17)=7,A12,IF(COUNT(B6:B17)=8,A13,IF(COUNT(B6:B17)=9,A14,IF(COUNT(B6:B17)=10,A15,IF(COUNT(B6:B17)=11,A16,A17))))))))))),"mmmm dd, yyyy")</f>
        <v>$ indicates as on August 31, 2024</v>
      </c>
      <c r="B18" s="139"/>
      <c r="C18" s="139"/>
      <c r="D18" s="139"/>
      <c r="E18" s="139"/>
      <c r="F18" s="393"/>
      <c r="G18" s="393"/>
    </row>
    <row r="19" spans="1:9" s="330" customFormat="1">
      <c r="A19" s="1293" t="s">
        <v>599</v>
      </c>
      <c r="B19" s="1293"/>
      <c r="C19" s="1293"/>
      <c r="D19" s="1293"/>
      <c r="E19" s="1293"/>
      <c r="F19" s="1293"/>
      <c r="G19" s="1293"/>
    </row>
    <row r="20" spans="1:9" s="330" customFormat="1">
      <c r="A20" s="419"/>
      <c r="B20" s="323"/>
      <c r="C20" s="323"/>
      <c r="D20" s="323"/>
      <c r="E20" s="323"/>
      <c r="F20" s="323"/>
      <c r="G20" s="323"/>
    </row>
    <row r="21" spans="1:9">
      <c r="B21" s="323"/>
      <c r="C21" s="323"/>
      <c r="D21" s="323"/>
      <c r="E21" s="323"/>
      <c r="F21" s="323"/>
      <c r="G21" s="323"/>
    </row>
  </sheetData>
  <mergeCells count="5">
    <mergeCell ref="A2:A3"/>
    <mergeCell ref="B2:C2"/>
    <mergeCell ref="D2:E2"/>
    <mergeCell ref="F2:G2"/>
    <mergeCell ref="A19:G19"/>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22"/>
  <sheetViews>
    <sheetView workbookViewId="0">
      <selection sqref="A1:F1"/>
    </sheetView>
  </sheetViews>
  <sheetFormatPr defaultRowHeight="15"/>
  <cols>
    <col min="1" max="1" width="14.42578125" style="336" bestFit="1" customWidth="1"/>
    <col min="2" max="3" width="16.28515625" style="336" bestFit="1" customWidth="1"/>
    <col min="4" max="4" width="15.85546875" style="336" bestFit="1" customWidth="1"/>
    <col min="5" max="5" width="13.85546875" style="336" bestFit="1" customWidth="1"/>
    <col min="6" max="6" width="16.28515625" style="336" bestFit="1" customWidth="1"/>
    <col min="7" max="7" width="9.140625" style="336"/>
    <col min="8" max="8" width="9.7109375" style="336" bestFit="1" customWidth="1"/>
    <col min="9" max="9" width="9.85546875" style="336" customWidth="1"/>
    <col min="10" max="16384" width="9.140625" style="336"/>
  </cols>
  <sheetData>
    <row r="1" spans="1:9" s="746" customFormat="1" ht="15" customHeight="1">
      <c r="A1" s="1449" t="s">
        <v>49</v>
      </c>
      <c r="B1" s="1449"/>
      <c r="C1" s="1449"/>
      <c r="D1" s="1449"/>
      <c r="E1" s="1449"/>
      <c r="F1" s="1449"/>
    </row>
    <row r="2" spans="1:9" ht="45">
      <c r="A2" s="586" t="s">
        <v>116</v>
      </c>
      <c r="B2" s="586" t="s">
        <v>926</v>
      </c>
      <c r="C2" s="586" t="s">
        <v>927</v>
      </c>
      <c r="D2" s="586" t="s">
        <v>928</v>
      </c>
      <c r="E2" s="586" t="s">
        <v>929</v>
      </c>
      <c r="F2" s="586" t="s">
        <v>930</v>
      </c>
    </row>
    <row r="3" spans="1:9">
      <c r="A3" s="530" t="s">
        <v>518</v>
      </c>
      <c r="B3" s="747">
        <v>3617496.66</v>
      </c>
      <c r="C3" s="747">
        <v>3278432.04</v>
      </c>
      <c r="D3" s="747">
        <v>339064.62</v>
      </c>
      <c r="E3" s="747">
        <v>41044.090000000004</v>
      </c>
      <c r="F3" s="747">
        <v>300808.43000000005</v>
      </c>
      <c r="G3" s="37"/>
      <c r="H3" s="748"/>
    </row>
    <row r="4" spans="1:9">
      <c r="A4" s="531" t="s">
        <v>743</v>
      </c>
      <c r="B4" s="749">
        <f>SUM(B5:B16)</f>
        <v>2117267.48</v>
      </c>
      <c r="C4" s="749">
        <f>SUM(C5:C16)</f>
        <v>2030391.59</v>
      </c>
      <c r="D4" s="749">
        <f>SUM(D5:D16)</f>
        <v>86875.890000000014</v>
      </c>
      <c r="E4" s="749">
        <f>SUM(E5:E16)</f>
        <v>10400.799999999999</v>
      </c>
      <c r="F4" s="749">
        <f>F3+E4</f>
        <v>311209.23000000004</v>
      </c>
      <c r="G4" s="37"/>
      <c r="H4" s="748"/>
      <c r="I4" s="37"/>
    </row>
    <row r="5" spans="1:9">
      <c r="A5" s="174">
        <v>45412</v>
      </c>
      <c r="B5" s="750">
        <v>360879.1</v>
      </c>
      <c r="C5" s="750">
        <v>377139.12</v>
      </c>
      <c r="D5" s="750">
        <v>-16260.02</v>
      </c>
      <c r="E5" s="750">
        <v>-1944.68</v>
      </c>
      <c r="F5" s="750">
        <f>F3+E5</f>
        <v>298863.75000000006</v>
      </c>
      <c r="G5" s="37"/>
      <c r="H5" s="748"/>
    </row>
    <row r="6" spans="1:9">
      <c r="A6" s="174">
        <v>45443</v>
      </c>
      <c r="B6" s="750">
        <v>371456.14</v>
      </c>
      <c r="C6" s="750">
        <v>384367</v>
      </c>
      <c r="D6" s="750">
        <v>-12910.86</v>
      </c>
      <c r="E6" s="750">
        <v>-1540.86</v>
      </c>
      <c r="F6" s="750">
        <f>F5+E6</f>
        <v>297322.89000000007</v>
      </c>
      <c r="G6" s="37"/>
      <c r="H6" s="748"/>
      <c r="I6" s="37"/>
    </row>
    <row r="7" spans="1:9" ht="15" customHeight="1">
      <c r="A7" s="174">
        <v>45473</v>
      </c>
      <c r="B7" s="750">
        <v>535577.62000000011</v>
      </c>
      <c r="C7" s="750">
        <v>493820.18</v>
      </c>
      <c r="D7" s="750">
        <v>41757.440000000002</v>
      </c>
      <c r="E7" s="750">
        <v>5007.1799999999994</v>
      </c>
      <c r="F7" s="750">
        <f>F6+E7</f>
        <v>302330.07000000007</v>
      </c>
      <c r="G7" s="37"/>
      <c r="H7" s="748"/>
    </row>
    <row r="8" spans="1:9">
      <c r="A8" s="174">
        <v>45504</v>
      </c>
      <c r="B8" s="750">
        <v>436258.05</v>
      </c>
      <c r="C8" s="750">
        <v>387462.01</v>
      </c>
      <c r="D8" s="750">
        <v>48796.04</v>
      </c>
      <c r="E8" s="750">
        <v>5839.71</v>
      </c>
      <c r="F8" s="750">
        <f>F7+E8</f>
        <v>308169.78000000009</v>
      </c>
    </row>
    <row r="9" spans="1:9">
      <c r="A9" s="174">
        <v>45535</v>
      </c>
      <c r="B9" s="750">
        <v>413096.57</v>
      </c>
      <c r="C9" s="750">
        <v>387603.28</v>
      </c>
      <c r="D9" s="750">
        <v>25493.29</v>
      </c>
      <c r="E9" s="750">
        <v>3039.45</v>
      </c>
      <c r="F9" s="750">
        <f>F8+E9</f>
        <v>311209.2300000001</v>
      </c>
    </row>
    <row r="10" spans="1:9">
      <c r="A10" s="174">
        <v>45565</v>
      </c>
      <c r="B10" s="751"/>
      <c r="C10" s="752"/>
      <c r="D10" s="752"/>
      <c r="E10" s="752"/>
      <c r="F10" s="750"/>
    </row>
    <row r="11" spans="1:9">
      <c r="A11" s="174">
        <v>45596</v>
      </c>
      <c r="B11" s="751"/>
      <c r="C11" s="752"/>
      <c r="D11" s="752"/>
      <c r="E11" s="752"/>
      <c r="F11" s="750"/>
    </row>
    <row r="12" spans="1:9">
      <c r="A12" s="174">
        <v>45626</v>
      </c>
      <c r="B12" s="751"/>
      <c r="C12" s="752"/>
      <c r="D12" s="752"/>
      <c r="E12" s="752"/>
      <c r="F12" s="750"/>
    </row>
    <row r="13" spans="1:9">
      <c r="A13" s="174">
        <v>45657</v>
      </c>
      <c r="B13" s="751"/>
      <c r="C13" s="752"/>
      <c r="D13" s="752"/>
      <c r="E13" s="752"/>
      <c r="F13" s="750"/>
    </row>
    <row r="14" spans="1:9">
      <c r="A14" s="174">
        <v>45688</v>
      </c>
      <c r="B14" s="751"/>
      <c r="C14" s="752"/>
      <c r="D14" s="752"/>
      <c r="E14" s="752"/>
      <c r="F14" s="750"/>
    </row>
    <row r="15" spans="1:9">
      <c r="A15" s="174">
        <v>45716</v>
      </c>
      <c r="B15" s="751"/>
      <c r="C15" s="752"/>
      <c r="D15" s="752"/>
      <c r="E15" s="752"/>
      <c r="F15" s="750"/>
    </row>
    <row r="16" spans="1:9">
      <c r="A16" s="174">
        <v>45747</v>
      </c>
      <c r="B16" s="751"/>
      <c r="C16" s="752"/>
      <c r="D16" s="752"/>
      <c r="E16" s="752"/>
      <c r="F16" s="750"/>
    </row>
    <row r="17" spans="1:6">
      <c r="A17" s="743" t="str">
        <f>"$ indicates as on "&amp;TEXT(IF(COUNT(B5:B16)=1,A5,IF(COUNT(B5:B16)=2,A6,IF(COUNT(B5:B16)=3,A7,IF(COUNT(B5:B16)=4,A8,IF(COUNT(B5:B16)=5,A9,IF(COUNT(B5:B16)=6,A10,IF(COUNT(B5:B16)=7,A11,IF(COUNT(B5:B16)=8,A12,IF(COUNT(B5:B16)=9,A13,IF(COUNT(B5:B16)=10,A14,IF(COUNT(B5:B16)=11,A15,A16))))))))))),"mmmm dd, yyyy")</f>
        <v>$ indicates as on August 31, 2024</v>
      </c>
      <c r="B17" s="1151"/>
      <c r="C17" s="201"/>
      <c r="D17" s="201"/>
      <c r="E17" s="201"/>
      <c r="F17" s="1152"/>
    </row>
    <row r="18" spans="1:6" ht="15" customHeight="1">
      <c r="A18" s="1450" t="s">
        <v>931</v>
      </c>
      <c r="B18" s="1450"/>
      <c r="C18" s="1450"/>
      <c r="D18" s="1450"/>
      <c r="E18" s="1450"/>
      <c r="F18" s="1450"/>
    </row>
    <row r="19" spans="1:6">
      <c r="B19" s="36"/>
      <c r="C19" s="36"/>
      <c r="D19" s="36"/>
      <c r="E19" s="36"/>
      <c r="F19" s="36"/>
    </row>
    <row r="22" spans="1:6" s="753" customFormat="1" ht="11.25">
      <c r="B22" s="754"/>
      <c r="C22" s="754"/>
      <c r="D22" s="754"/>
      <c r="E22" s="754"/>
    </row>
  </sheetData>
  <mergeCells count="2">
    <mergeCell ref="A1:F1"/>
    <mergeCell ref="A18:F18"/>
  </mergeCells>
  <printOptions horizontalCentered="1"/>
  <pageMargins left="0.7" right="0.7" top="0.75" bottom="0.75" header="0.3" footer="0.3"/>
  <pageSetup paperSize="9" orientation="landscape" r:id="rId1"/>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19"/>
  <sheetViews>
    <sheetView workbookViewId="0">
      <selection sqref="A1:F1"/>
    </sheetView>
  </sheetViews>
  <sheetFormatPr defaultRowHeight="15"/>
  <cols>
    <col min="1" max="1" width="14.42578125" style="758" bestFit="1" customWidth="1"/>
    <col min="2" max="6" width="23.85546875" style="758" customWidth="1"/>
    <col min="7" max="16384" width="9.140625" style="758"/>
  </cols>
  <sheetData>
    <row r="1" spans="1:11" s="756" customFormat="1" ht="15" customHeight="1">
      <c r="A1" s="1449" t="s">
        <v>932</v>
      </c>
      <c r="B1" s="1449"/>
      <c r="C1" s="1449"/>
      <c r="D1" s="1449"/>
      <c r="E1" s="1449"/>
      <c r="F1" s="1449"/>
      <c r="G1" s="755"/>
      <c r="H1" s="755"/>
      <c r="I1" s="755"/>
      <c r="J1" s="755"/>
      <c r="K1" s="755"/>
    </row>
    <row r="2" spans="1:11" ht="90">
      <c r="A2" s="757" t="s">
        <v>116</v>
      </c>
      <c r="B2" s="757" t="s">
        <v>933</v>
      </c>
      <c r="C2" s="757" t="s">
        <v>934</v>
      </c>
      <c r="D2" s="757" t="s">
        <v>935</v>
      </c>
      <c r="E2" s="757" t="s">
        <v>936</v>
      </c>
      <c r="F2" s="586" t="s">
        <v>937</v>
      </c>
    </row>
    <row r="3" spans="1:11">
      <c r="A3" s="759" t="s">
        <v>518</v>
      </c>
      <c r="B3" s="760">
        <v>149119.91718537293</v>
      </c>
      <c r="C3" s="760">
        <v>149119.91718537293</v>
      </c>
      <c r="D3" s="760">
        <v>6953988</v>
      </c>
      <c r="E3" s="761">
        <v>2.1443798462892505</v>
      </c>
      <c r="F3" s="761">
        <v>2.1443798462892505</v>
      </c>
    </row>
    <row r="4" spans="1:11">
      <c r="A4" s="759" t="s">
        <v>518</v>
      </c>
      <c r="B4" s="245">
        <f>INDEX(B5:B16,COUNT(B5:B16))</f>
        <v>158429</v>
      </c>
      <c r="C4" s="245">
        <f>INDEX(C5:C16,COUNT(C5:C16))</f>
        <v>158429</v>
      </c>
      <c r="D4" s="245">
        <f>INDEX(D5:D16,COUNT(D5:D16))</f>
        <v>8038982</v>
      </c>
      <c r="E4" s="762">
        <f>INDEX(E5:E16,COUNT(E5:E16))</f>
        <v>1.970759481735374</v>
      </c>
      <c r="F4" s="762">
        <f>INDEX(F5:F16,COUNT(F5:F16))</f>
        <v>1.970759481735374</v>
      </c>
    </row>
    <row r="5" spans="1:11">
      <c r="A5" s="174">
        <v>45412</v>
      </c>
      <c r="B5" s="763">
        <v>156651</v>
      </c>
      <c r="C5" s="763">
        <v>156651</v>
      </c>
      <c r="D5" s="763">
        <v>7155782</v>
      </c>
      <c r="E5" s="764">
        <f>B5/$D5*100</f>
        <v>2.1891527718424069</v>
      </c>
      <c r="F5" s="764">
        <f>C5/$D5*100</f>
        <v>2.1891527718424069</v>
      </c>
    </row>
    <row r="6" spans="1:11">
      <c r="A6" s="174">
        <v>45443</v>
      </c>
      <c r="B6" s="763">
        <v>134149</v>
      </c>
      <c r="C6" s="763">
        <v>134149</v>
      </c>
      <c r="D6" s="763">
        <v>7187455</v>
      </c>
      <c r="E6" s="764">
        <f t="shared" ref="E6:F8" si="0">B6/$D6*100</f>
        <v>1.8664325550559968</v>
      </c>
      <c r="F6" s="764">
        <f t="shared" si="0"/>
        <v>1.8664325550559968</v>
      </c>
    </row>
    <row r="7" spans="1:11">
      <c r="A7" s="174">
        <v>45473</v>
      </c>
      <c r="B7" s="763">
        <v>155222</v>
      </c>
      <c r="C7" s="763">
        <v>155222</v>
      </c>
      <c r="D7" s="763">
        <v>7708848</v>
      </c>
      <c r="E7" s="764">
        <f t="shared" si="0"/>
        <v>2.013556370549789</v>
      </c>
      <c r="F7" s="764">
        <f t="shared" si="0"/>
        <v>2.013556370549789</v>
      </c>
    </row>
    <row r="8" spans="1:11">
      <c r="A8" s="174">
        <v>45504</v>
      </c>
      <c r="B8" s="763">
        <v>158429</v>
      </c>
      <c r="C8" s="763">
        <v>158429</v>
      </c>
      <c r="D8" s="763">
        <v>8038982</v>
      </c>
      <c r="E8" s="764">
        <f t="shared" si="0"/>
        <v>1.970759481735374</v>
      </c>
      <c r="F8" s="764">
        <f t="shared" si="0"/>
        <v>1.970759481735374</v>
      </c>
    </row>
    <row r="9" spans="1:11" ht="15" customHeight="1">
      <c r="A9" s="174">
        <v>45535</v>
      </c>
      <c r="B9" s="765"/>
      <c r="C9" s="765"/>
      <c r="D9" s="765"/>
      <c r="E9" s="766"/>
      <c r="F9" s="766"/>
    </row>
    <row r="10" spans="1:11" ht="15" customHeight="1">
      <c r="A10" s="174">
        <v>45565</v>
      </c>
      <c r="B10" s="765"/>
      <c r="C10" s="765"/>
      <c r="D10" s="765"/>
      <c r="E10" s="766"/>
      <c r="F10" s="766"/>
    </row>
    <row r="11" spans="1:11" ht="15" customHeight="1">
      <c r="A11" s="174">
        <v>45596</v>
      </c>
      <c r="B11" s="765"/>
      <c r="C11" s="765"/>
      <c r="D11" s="765"/>
      <c r="E11" s="766"/>
      <c r="F11" s="766"/>
    </row>
    <row r="12" spans="1:11" ht="15" customHeight="1">
      <c r="A12" s="174">
        <v>45626</v>
      </c>
      <c r="B12" s="765"/>
      <c r="C12" s="765"/>
      <c r="D12" s="765"/>
      <c r="E12" s="766"/>
      <c r="F12" s="766"/>
    </row>
    <row r="13" spans="1:11" ht="15" customHeight="1">
      <c r="A13" s="174">
        <v>45657</v>
      </c>
      <c r="B13" s="765"/>
      <c r="C13" s="765"/>
      <c r="D13" s="765"/>
      <c r="E13" s="766"/>
      <c r="F13" s="766"/>
    </row>
    <row r="14" spans="1:11" ht="15" customHeight="1">
      <c r="A14" s="174">
        <v>45688</v>
      </c>
      <c r="B14" s="765"/>
      <c r="C14" s="765"/>
      <c r="D14" s="765"/>
      <c r="E14" s="766"/>
      <c r="F14" s="766"/>
    </row>
    <row r="15" spans="1:11" s="336" customFormat="1" ht="15" customHeight="1">
      <c r="A15" s="174">
        <v>45716</v>
      </c>
      <c r="B15" s="765"/>
      <c r="C15" s="765"/>
      <c r="D15" s="765"/>
      <c r="E15" s="766"/>
      <c r="F15" s="766"/>
    </row>
    <row r="16" spans="1:11" s="336" customFormat="1" ht="15" customHeight="1">
      <c r="A16" s="174">
        <v>45747</v>
      </c>
      <c r="B16" s="765"/>
      <c r="C16" s="765"/>
      <c r="D16" s="765"/>
      <c r="E16" s="766"/>
      <c r="F16" s="766"/>
    </row>
    <row r="17" spans="1:6" s="336" customFormat="1" ht="15" customHeight="1">
      <c r="A17" s="743" t="str">
        <f>"$ indicates as on "&amp;TEXT(IF(COUNT(B5:B16)=1,A5,IF(COUNT(B5:B16)=2,A6,IF(COUNT(B5:B16)=3,A7,IF(COUNT(B5:B16)=4,A8,IF(COUNT(B5:B16)=5,A9,IF(COUNT(B5:B16)=6,A10,IF(COUNT(B5:B16)=7,A11,IF(COUNT(B5:B16)=8,A12,IF(COUNT(B5:B16)=9,A13,IF(COUNT(B5:B16)=10,A14,IF(COUNT(B5:B16)=11,A15,A16))))))))))),"mmmm dd, yyyy")</f>
        <v>$ indicates as on July 31, 2024</v>
      </c>
      <c r="B17" s="1159"/>
      <c r="C17" s="1159"/>
      <c r="D17" s="1159"/>
      <c r="E17" s="1159"/>
      <c r="F17" s="1159"/>
    </row>
    <row r="18" spans="1:6" ht="53.25" customHeight="1">
      <c r="A18" s="1451" t="s">
        <v>938</v>
      </c>
      <c r="B18" s="1451"/>
      <c r="C18" s="1451"/>
      <c r="D18" s="1451"/>
      <c r="E18" s="1451"/>
      <c r="F18" s="1451"/>
    </row>
    <row r="19" spans="1:6">
      <c r="A19" s="1450" t="s">
        <v>939</v>
      </c>
      <c r="B19" s="1450"/>
      <c r="C19" s="1450"/>
      <c r="D19" s="1450"/>
      <c r="E19" s="1450"/>
      <c r="F19" s="1450"/>
    </row>
  </sheetData>
  <mergeCells count="3">
    <mergeCell ref="A1:F1"/>
    <mergeCell ref="A18:F18"/>
    <mergeCell ref="A19:F19"/>
  </mergeCells>
  <printOptions horizontalCentered="1"/>
  <pageMargins left="0.7" right="0.7" top="0.75" bottom="0.75" header="0.3" footer="0.3"/>
  <pageSetup paperSize="9" scale="98" fitToHeight="0" orientation="landscape" r:id="rId1"/>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E22"/>
  <sheetViews>
    <sheetView workbookViewId="0">
      <selection sqref="A1:Z1"/>
    </sheetView>
  </sheetViews>
  <sheetFormatPr defaultColWidth="9.140625" defaultRowHeight="15"/>
  <cols>
    <col min="1" max="1" width="11.140625" style="331" bestFit="1" customWidth="1"/>
    <col min="2" max="2" width="12.85546875" style="331" customWidth="1"/>
    <col min="3" max="3" width="16.42578125" style="331" bestFit="1" customWidth="1"/>
    <col min="4" max="4" width="8.42578125" style="331" bestFit="1" customWidth="1"/>
    <col min="5" max="5" width="15.140625" style="331" bestFit="1" customWidth="1"/>
    <col min="6" max="6" width="11.7109375" style="331" bestFit="1" customWidth="1"/>
    <col min="7" max="7" width="16.42578125" style="331" bestFit="1" customWidth="1"/>
    <col min="8" max="8" width="9.7109375" style="331" bestFit="1" customWidth="1"/>
    <col min="9" max="9" width="13" style="331" bestFit="1" customWidth="1"/>
    <col min="10" max="10" width="8.42578125" style="331" bestFit="1" customWidth="1"/>
    <col min="11" max="11" width="9.85546875" style="331" customWidth="1"/>
    <col min="12" max="14" width="11.7109375" style="331" bestFit="1" customWidth="1"/>
    <col min="15" max="15" width="16.42578125" style="331" bestFit="1" customWidth="1"/>
    <col min="16" max="16" width="11.7109375" style="331" bestFit="1" customWidth="1"/>
    <col min="17" max="17" width="15.140625" style="331" bestFit="1" customWidth="1"/>
    <col min="18" max="18" width="8.42578125" style="331" bestFit="1" customWidth="1"/>
    <col min="19" max="19" width="15.140625" style="331" bestFit="1" customWidth="1"/>
    <col min="20" max="20" width="9.7109375" style="331" bestFit="1" customWidth="1"/>
    <col min="21" max="21" width="16.42578125" style="331" bestFit="1" customWidth="1"/>
    <col min="22" max="22" width="9.7109375" style="331" bestFit="1" customWidth="1"/>
    <col min="23" max="23" width="16.28515625" style="331" bestFit="1" customWidth="1"/>
    <col min="24" max="24" width="8.42578125" style="331" bestFit="1" customWidth="1"/>
    <col min="25" max="25" width="13" style="331" bestFit="1" customWidth="1"/>
    <col min="26" max="26" width="12.85546875" style="331" customWidth="1"/>
    <col min="27" max="27" width="16.42578125" style="787" bestFit="1" customWidth="1"/>
    <col min="28" max="28" width="13" style="787" bestFit="1" customWidth="1"/>
    <col min="29" max="29" width="18.5703125" style="787" bestFit="1" customWidth="1"/>
    <col min="30" max="30" width="4.5703125" style="787" bestFit="1" customWidth="1"/>
    <col min="31" max="31" width="10" style="787" bestFit="1" customWidth="1"/>
    <col min="32" max="16384" width="9.140625" style="787"/>
  </cols>
  <sheetData>
    <row r="1" spans="1:31" s="767" customFormat="1" ht="15" customHeight="1">
      <c r="A1" s="1460" t="s">
        <v>51</v>
      </c>
      <c r="B1" s="1461"/>
      <c r="C1" s="1461"/>
      <c r="D1" s="1461"/>
      <c r="E1" s="1461"/>
      <c r="F1" s="1461"/>
      <c r="G1" s="1461"/>
      <c r="H1" s="1461"/>
      <c r="I1" s="1461"/>
      <c r="J1" s="1461"/>
      <c r="K1" s="1461"/>
      <c r="L1" s="1461"/>
      <c r="M1" s="1461"/>
      <c r="N1" s="1461"/>
      <c r="O1" s="1461"/>
      <c r="P1" s="1461"/>
      <c r="Q1" s="1461"/>
      <c r="R1" s="1461"/>
      <c r="S1" s="1461"/>
      <c r="T1" s="1461"/>
      <c r="U1" s="1461"/>
      <c r="V1" s="1461"/>
      <c r="W1" s="1461"/>
      <c r="X1" s="1461"/>
      <c r="Y1" s="1461"/>
      <c r="Z1" s="1461"/>
    </row>
    <row r="2" spans="1:31" s="768" customFormat="1" ht="60" customHeight="1">
      <c r="A2" s="1462" t="s">
        <v>940</v>
      </c>
      <c r="B2" s="1454" t="s">
        <v>941</v>
      </c>
      <c r="C2" s="1455"/>
      <c r="D2" s="1456" t="s">
        <v>942</v>
      </c>
      <c r="E2" s="1456"/>
      <c r="F2" s="1456" t="s">
        <v>943</v>
      </c>
      <c r="G2" s="1456"/>
      <c r="H2" s="1456" t="s">
        <v>944</v>
      </c>
      <c r="I2" s="1456"/>
      <c r="J2" s="1454" t="s">
        <v>945</v>
      </c>
      <c r="K2" s="1455"/>
      <c r="L2" s="1454" t="s">
        <v>946</v>
      </c>
      <c r="M2" s="1455"/>
      <c r="N2" s="1456" t="s">
        <v>80</v>
      </c>
      <c r="O2" s="1456"/>
      <c r="P2" s="1454" t="s">
        <v>947</v>
      </c>
      <c r="Q2" s="1455"/>
      <c r="R2" s="1454" t="s">
        <v>304</v>
      </c>
      <c r="S2" s="1455"/>
      <c r="T2" s="1456" t="s">
        <v>948</v>
      </c>
      <c r="U2" s="1456"/>
      <c r="V2" s="1457" t="s">
        <v>949</v>
      </c>
      <c r="W2" s="1231"/>
      <c r="X2" s="1230" t="s">
        <v>950</v>
      </c>
      <c r="Y2" s="1231"/>
      <c r="Z2" s="1458" t="s">
        <v>300</v>
      </c>
      <c r="AA2" s="1459"/>
      <c r="AB2" s="1458" t="s">
        <v>96</v>
      </c>
      <c r="AC2" s="1459"/>
    </row>
    <row r="3" spans="1:31" s="768" customFormat="1" ht="30">
      <c r="A3" s="1463"/>
      <c r="B3" s="769" t="s">
        <v>951</v>
      </c>
      <c r="C3" s="769" t="s">
        <v>124</v>
      </c>
      <c r="D3" s="769" t="s">
        <v>951</v>
      </c>
      <c r="E3" s="769" t="s">
        <v>124</v>
      </c>
      <c r="F3" s="769" t="s">
        <v>951</v>
      </c>
      <c r="G3" s="769" t="s">
        <v>124</v>
      </c>
      <c r="H3" s="769" t="s">
        <v>951</v>
      </c>
      <c r="I3" s="769" t="s">
        <v>124</v>
      </c>
      <c r="J3" s="769" t="s">
        <v>951</v>
      </c>
      <c r="K3" s="770" t="s">
        <v>124</v>
      </c>
      <c r="L3" s="769" t="s">
        <v>951</v>
      </c>
      <c r="M3" s="769" t="s">
        <v>124</v>
      </c>
      <c r="N3" s="771" t="s">
        <v>951</v>
      </c>
      <c r="O3" s="771" t="s">
        <v>124</v>
      </c>
      <c r="P3" s="771" t="s">
        <v>951</v>
      </c>
      <c r="Q3" s="771" t="s">
        <v>124</v>
      </c>
      <c r="R3" s="771" t="s">
        <v>951</v>
      </c>
      <c r="S3" s="771" t="s">
        <v>124</v>
      </c>
      <c r="T3" s="771" t="s">
        <v>951</v>
      </c>
      <c r="U3" s="771" t="s">
        <v>124</v>
      </c>
      <c r="V3" s="771" t="s">
        <v>951</v>
      </c>
      <c r="W3" s="771" t="s">
        <v>124</v>
      </c>
      <c r="X3" s="771" t="s">
        <v>951</v>
      </c>
      <c r="Y3" s="771" t="s">
        <v>124</v>
      </c>
      <c r="Z3" s="771" t="s">
        <v>951</v>
      </c>
      <c r="AA3" s="771" t="s">
        <v>124</v>
      </c>
      <c r="AB3" s="771" t="s">
        <v>951</v>
      </c>
      <c r="AC3" s="771" t="s">
        <v>124</v>
      </c>
    </row>
    <row r="4" spans="1:31" s="774" customFormat="1">
      <c r="A4" s="530" t="s">
        <v>518</v>
      </c>
      <c r="B4" s="772">
        <v>11365</v>
      </c>
      <c r="C4" s="772">
        <v>6953987.6900000004</v>
      </c>
      <c r="D4" s="772">
        <v>9</v>
      </c>
      <c r="E4" s="772">
        <v>526941.28</v>
      </c>
      <c r="F4" s="772">
        <v>3382</v>
      </c>
      <c r="G4" s="772">
        <v>2723152.54</v>
      </c>
      <c r="H4" s="772">
        <v>234</v>
      </c>
      <c r="I4" s="772">
        <v>40878.49</v>
      </c>
      <c r="J4" s="772">
        <v>23</v>
      </c>
      <c r="K4" s="773">
        <v>627.4</v>
      </c>
      <c r="L4" s="772">
        <v>2071</v>
      </c>
      <c r="M4" s="772">
        <v>6760.93</v>
      </c>
      <c r="N4" s="772">
        <v>1563</v>
      </c>
      <c r="O4" s="772">
        <v>4702435.43</v>
      </c>
      <c r="P4" s="772">
        <v>1677</v>
      </c>
      <c r="Q4" s="772">
        <v>315572.77</v>
      </c>
      <c r="R4" s="772">
        <v>88</v>
      </c>
      <c r="S4" s="772">
        <v>786385.51</v>
      </c>
      <c r="T4" s="772">
        <v>811</v>
      </c>
      <c r="U4" s="772">
        <v>3691165.73</v>
      </c>
      <c r="V4" s="772">
        <v>141</v>
      </c>
      <c r="W4" s="772">
        <v>1149735.92</v>
      </c>
      <c r="X4" s="772">
        <v>21</v>
      </c>
      <c r="Y4" s="772">
        <v>47547.05</v>
      </c>
      <c r="Z4" s="772">
        <v>63193</v>
      </c>
      <c r="AA4" s="772">
        <v>2284017.4500000002</v>
      </c>
      <c r="AB4" s="772">
        <v>84578</v>
      </c>
      <c r="AC4" s="772">
        <v>23229208.190000001</v>
      </c>
      <c r="AE4" s="775"/>
    </row>
    <row r="5" spans="1:31" s="774" customFormat="1">
      <c r="A5" s="531" t="s">
        <v>743</v>
      </c>
      <c r="B5" s="776">
        <f>INDEX(B6:B17,COUNT(B6:B17))</f>
        <v>11748</v>
      </c>
      <c r="C5" s="776">
        <f t="shared" ref="C5:AC5" si="0">INDEX(C6:C17,COUNT(C6:C17))</f>
        <v>7942235.7699999996</v>
      </c>
      <c r="D5" s="776">
        <f t="shared" si="0"/>
        <v>10</v>
      </c>
      <c r="E5" s="776">
        <f t="shared" si="0"/>
        <v>586598.91</v>
      </c>
      <c r="F5" s="776">
        <f t="shared" si="0"/>
        <v>3677</v>
      </c>
      <c r="G5" s="776">
        <f t="shared" si="0"/>
        <v>2997276.84</v>
      </c>
      <c r="H5" s="776">
        <f t="shared" si="0"/>
        <v>235</v>
      </c>
      <c r="I5" s="776">
        <f t="shared" si="0"/>
        <v>44415.16</v>
      </c>
      <c r="J5" s="776">
        <f t="shared" si="0"/>
        <v>23</v>
      </c>
      <c r="K5" s="776">
        <f t="shared" si="0"/>
        <v>815.17</v>
      </c>
      <c r="L5" s="776">
        <f t="shared" si="0"/>
        <v>2748</v>
      </c>
      <c r="M5" s="776">
        <f t="shared" si="0"/>
        <v>8659.93</v>
      </c>
      <c r="N5" s="776">
        <f t="shared" si="0"/>
        <v>1656</v>
      </c>
      <c r="O5" s="776">
        <f t="shared" si="0"/>
        <v>5671595.8799999999</v>
      </c>
      <c r="P5" s="776">
        <f t="shared" si="0"/>
        <v>2219</v>
      </c>
      <c r="Q5" s="776">
        <f t="shared" si="0"/>
        <v>329981.76</v>
      </c>
      <c r="R5" s="776">
        <f t="shared" si="0"/>
        <v>88</v>
      </c>
      <c r="S5" s="776">
        <f t="shared" si="0"/>
        <v>847965.94</v>
      </c>
      <c r="T5" s="776">
        <f t="shared" si="0"/>
        <v>826</v>
      </c>
      <c r="U5" s="776">
        <f t="shared" si="0"/>
        <v>4023533.07</v>
      </c>
      <c r="V5" s="776">
        <f t="shared" si="0"/>
        <v>141</v>
      </c>
      <c r="W5" s="776">
        <f t="shared" si="0"/>
        <v>1053367.01</v>
      </c>
      <c r="X5" s="776">
        <f t="shared" si="0"/>
        <v>21</v>
      </c>
      <c r="Y5" s="776">
        <f t="shared" si="0"/>
        <v>55150.36</v>
      </c>
      <c r="Z5" s="776">
        <f t="shared" si="0"/>
        <v>85694</v>
      </c>
      <c r="AA5" s="776">
        <f t="shared" si="0"/>
        <v>1971771.92</v>
      </c>
      <c r="AB5" s="777">
        <f t="shared" si="0"/>
        <v>109086</v>
      </c>
      <c r="AC5" s="777">
        <f t="shared" si="0"/>
        <v>25533367.720000006</v>
      </c>
      <c r="AE5" s="775"/>
    </row>
    <row r="6" spans="1:31" s="784" customFormat="1">
      <c r="A6" s="174">
        <v>45412</v>
      </c>
      <c r="B6" s="778">
        <v>11430</v>
      </c>
      <c r="C6" s="778">
        <v>7155781.8899999997</v>
      </c>
      <c r="D6" s="778">
        <v>9</v>
      </c>
      <c r="E6" s="778">
        <v>543626.87</v>
      </c>
      <c r="F6" s="778">
        <v>3429</v>
      </c>
      <c r="G6" s="778">
        <v>2817729.07</v>
      </c>
      <c r="H6" s="778">
        <v>236</v>
      </c>
      <c r="I6" s="779">
        <v>42437.18</v>
      </c>
      <c r="J6" s="780">
        <v>23</v>
      </c>
      <c r="K6" s="781">
        <v>686.7</v>
      </c>
      <c r="L6" s="778">
        <v>2154</v>
      </c>
      <c r="M6" s="778">
        <v>7243.41</v>
      </c>
      <c r="N6" s="778">
        <v>1564</v>
      </c>
      <c r="O6" s="778">
        <v>4960090.78</v>
      </c>
      <c r="P6" s="778">
        <v>1782</v>
      </c>
      <c r="Q6" s="778">
        <v>322224.53000000003</v>
      </c>
      <c r="R6" s="778">
        <v>88</v>
      </c>
      <c r="S6" s="778">
        <v>770469.53</v>
      </c>
      <c r="T6" s="778">
        <v>814</v>
      </c>
      <c r="U6" s="778">
        <v>3784190.55</v>
      </c>
      <c r="V6" s="778">
        <v>141</v>
      </c>
      <c r="W6" s="778">
        <v>1169293.6200000001</v>
      </c>
      <c r="X6" s="778">
        <v>21</v>
      </c>
      <c r="Y6" s="778">
        <v>48302.44</v>
      </c>
      <c r="Z6" s="778">
        <v>66377</v>
      </c>
      <c r="AA6" s="782">
        <v>2340309.33</v>
      </c>
      <c r="AB6" s="782">
        <v>88068</v>
      </c>
      <c r="AC6" s="782">
        <v>23962385.899999999</v>
      </c>
      <c r="AD6" s="783"/>
      <c r="AE6" s="783"/>
    </row>
    <row r="7" spans="1:31" s="784" customFormat="1">
      <c r="A7" s="174">
        <v>45443</v>
      </c>
      <c r="B7" s="778">
        <v>11503</v>
      </c>
      <c r="C7" s="778">
        <v>7187455.0999999996</v>
      </c>
      <c r="D7" s="778">
        <v>9</v>
      </c>
      <c r="E7" s="778">
        <v>537469.1</v>
      </c>
      <c r="F7" s="778">
        <v>3487</v>
      </c>
      <c r="G7" s="778">
        <v>2878459.06</v>
      </c>
      <c r="H7" s="778">
        <v>233</v>
      </c>
      <c r="I7" s="778">
        <v>42225.45</v>
      </c>
      <c r="J7" s="778">
        <v>23</v>
      </c>
      <c r="K7" s="778">
        <v>638.35</v>
      </c>
      <c r="L7" s="778">
        <v>2285</v>
      </c>
      <c r="M7" s="778">
        <v>7384.54</v>
      </c>
      <c r="N7" s="778">
        <v>1573</v>
      </c>
      <c r="O7" s="778">
        <v>5052831.16</v>
      </c>
      <c r="P7" s="778">
        <v>1866</v>
      </c>
      <c r="Q7" s="778">
        <v>331318.31</v>
      </c>
      <c r="R7" s="778">
        <v>88</v>
      </c>
      <c r="S7" s="778">
        <v>763526.05</v>
      </c>
      <c r="T7" s="778">
        <v>817</v>
      </c>
      <c r="U7" s="778">
        <v>3809804.16</v>
      </c>
      <c r="V7" s="778">
        <v>141</v>
      </c>
      <c r="W7" s="778">
        <v>1189654.69</v>
      </c>
      <c r="X7" s="778">
        <v>21</v>
      </c>
      <c r="Y7" s="778">
        <v>47610.45</v>
      </c>
      <c r="Z7" s="778">
        <v>70642</v>
      </c>
      <c r="AA7" s="778">
        <v>2366320.3199999998</v>
      </c>
      <c r="AB7" s="778">
        <v>92688</v>
      </c>
      <c r="AC7" s="778">
        <v>24214696.739999998</v>
      </c>
      <c r="AD7" s="783"/>
      <c r="AE7" s="783"/>
    </row>
    <row r="8" spans="1:31" s="784" customFormat="1" ht="15" customHeight="1">
      <c r="A8" s="174">
        <v>45473</v>
      </c>
      <c r="B8" s="778">
        <v>11619</v>
      </c>
      <c r="C8" s="778">
        <v>7708847.6699999999</v>
      </c>
      <c r="D8" s="778">
        <v>9</v>
      </c>
      <c r="E8" s="778">
        <v>584958.61</v>
      </c>
      <c r="F8" s="778">
        <v>3535</v>
      </c>
      <c r="G8" s="778">
        <v>3001809.38</v>
      </c>
      <c r="H8" s="778">
        <v>233</v>
      </c>
      <c r="I8" s="778">
        <v>44218.74</v>
      </c>
      <c r="J8" s="778">
        <v>23</v>
      </c>
      <c r="K8" s="778">
        <v>711.9</v>
      </c>
      <c r="L8" s="778">
        <v>2390</v>
      </c>
      <c r="M8" s="778">
        <v>8059.06</v>
      </c>
      <c r="N8" s="778">
        <v>1625</v>
      </c>
      <c r="O8" s="778">
        <v>5387836.5499999998</v>
      </c>
      <c r="P8" s="778">
        <v>1984</v>
      </c>
      <c r="Q8" s="778">
        <v>339672.66</v>
      </c>
      <c r="R8" s="778">
        <v>88</v>
      </c>
      <c r="S8" s="778">
        <v>773244.52</v>
      </c>
      <c r="T8" s="778">
        <v>820</v>
      </c>
      <c r="U8" s="778">
        <v>3953336.98</v>
      </c>
      <c r="V8" s="778">
        <v>141</v>
      </c>
      <c r="W8" s="778">
        <v>1220904.6299999999</v>
      </c>
      <c r="X8" s="778">
        <v>21</v>
      </c>
      <c r="Y8" s="778">
        <v>47410.63</v>
      </c>
      <c r="Z8" s="778">
        <v>75335</v>
      </c>
      <c r="AA8" s="778">
        <v>2461801.42</v>
      </c>
      <c r="AB8" s="778">
        <f>SUM(B8,D8,F8,H8,J8,L8,N8,P8,R8,T8,V8,X8,Z8)</f>
        <v>97823</v>
      </c>
      <c r="AC8" s="778">
        <f>SUM(C8,E8,G8,I8,K8,M8,O8,Q8,S8,U8,W8,Y8,AA8)</f>
        <v>25532812.75</v>
      </c>
      <c r="AD8" s="783"/>
      <c r="AE8" s="783"/>
    </row>
    <row r="9" spans="1:31" s="784" customFormat="1" ht="15" customHeight="1">
      <c r="A9" s="174">
        <v>45504</v>
      </c>
      <c r="B9" s="778">
        <v>11667</v>
      </c>
      <c r="C9" s="778">
        <v>8038981.5099999998</v>
      </c>
      <c r="D9" s="778">
        <v>9</v>
      </c>
      <c r="E9" s="778">
        <v>585683.86</v>
      </c>
      <c r="F9" s="778">
        <v>3575</v>
      </c>
      <c r="G9" s="778">
        <v>3099751.25</v>
      </c>
      <c r="H9" s="778">
        <v>236</v>
      </c>
      <c r="I9" s="778">
        <v>44482.11</v>
      </c>
      <c r="J9" s="778">
        <v>23</v>
      </c>
      <c r="K9" s="778">
        <v>793.66</v>
      </c>
      <c r="L9" s="778">
        <v>2596</v>
      </c>
      <c r="M9" s="778">
        <v>8752.2000000000007</v>
      </c>
      <c r="N9" s="778">
        <v>1630</v>
      </c>
      <c r="O9" s="778">
        <v>5689542.2400000002</v>
      </c>
      <c r="P9" s="778">
        <v>2130</v>
      </c>
      <c r="Q9" s="778">
        <v>353510.43</v>
      </c>
      <c r="R9" s="778">
        <v>88</v>
      </c>
      <c r="S9" s="778">
        <v>840458.03</v>
      </c>
      <c r="T9" s="778">
        <v>821</v>
      </c>
      <c r="U9" s="778">
        <v>4124262.93</v>
      </c>
      <c r="V9" s="778">
        <v>141</v>
      </c>
      <c r="W9" s="778">
        <v>1253223.0900000001</v>
      </c>
      <c r="X9" s="778">
        <v>21</v>
      </c>
      <c r="Y9" s="778">
        <v>54323.68</v>
      </c>
      <c r="Z9" s="778">
        <v>80934</v>
      </c>
      <c r="AA9" s="778">
        <v>2571863.39</v>
      </c>
      <c r="AB9" s="778">
        <v>103871</v>
      </c>
      <c r="AC9" s="778">
        <v>26665628.379999999</v>
      </c>
      <c r="AD9" s="783"/>
      <c r="AE9" s="783"/>
    </row>
    <row r="10" spans="1:31" s="784" customFormat="1" ht="15" customHeight="1">
      <c r="A10" s="174">
        <v>45535</v>
      </c>
      <c r="B10" s="779">
        <v>11748</v>
      </c>
      <c r="C10" s="1181">
        <v>7942235.7699999996</v>
      </c>
      <c r="D10" s="779">
        <v>10</v>
      </c>
      <c r="E10" s="779">
        <v>586598.91</v>
      </c>
      <c r="F10" s="779">
        <v>3677</v>
      </c>
      <c r="G10" s="779">
        <v>2997276.84</v>
      </c>
      <c r="H10" s="779">
        <v>235</v>
      </c>
      <c r="I10" s="779">
        <v>44415.16</v>
      </c>
      <c r="J10" s="779">
        <v>23</v>
      </c>
      <c r="K10" s="779">
        <v>815.17</v>
      </c>
      <c r="L10" s="779">
        <v>2748</v>
      </c>
      <c r="M10" s="779">
        <v>8659.93</v>
      </c>
      <c r="N10" s="779">
        <v>1656</v>
      </c>
      <c r="O10" s="779">
        <v>5671595.8799999999</v>
      </c>
      <c r="P10" s="779">
        <v>2219</v>
      </c>
      <c r="Q10" s="779">
        <v>329981.76</v>
      </c>
      <c r="R10" s="779">
        <v>88</v>
      </c>
      <c r="S10" s="779">
        <v>847965.94</v>
      </c>
      <c r="T10" s="779">
        <v>826</v>
      </c>
      <c r="U10" s="779">
        <v>4023533.07</v>
      </c>
      <c r="V10" s="779">
        <v>141</v>
      </c>
      <c r="W10" s="779">
        <v>1053367.01</v>
      </c>
      <c r="X10" s="779">
        <v>21</v>
      </c>
      <c r="Y10" s="779">
        <v>55150.36</v>
      </c>
      <c r="Z10" s="779">
        <v>85694</v>
      </c>
      <c r="AA10" s="779">
        <v>1971771.92</v>
      </c>
      <c r="AB10" s="779">
        <v>109086</v>
      </c>
      <c r="AC10" s="779">
        <v>25533367.720000006</v>
      </c>
      <c r="AD10"/>
      <c r="AE10" s="783"/>
    </row>
    <row r="11" spans="1:31" s="784" customFormat="1" ht="15" customHeight="1">
      <c r="A11" s="174">
        <v>45565</v>
      </c>
      <c r="B11" s="785"/>
      <c r="C11" s="785"/>
      <c r="D11" s="785"/>
      <c r="E11" s="785"/>
      <c r="F11" s="785"/>
      <c r="G11" s="785"/>
      <c r="H11" s="785"/>
      <c r="I11" s="785"/>
      <c r="J11" s="785"/>
      <c r="K11" s="785"/>
      <c r="L11" s="785"/>
      <c r="M11" s="785"/>
      <c r="N11" s="785"/>
      <c r="O11" s="785"/>
      <c r="P11" s="785"/>
      <c r="Q11" s="785"/>
      <c r="R11" s="785"/>
      <c r="S11" s="785"/>
      <c r="T11" s="785"/>
      <c r="U11" s="785"/>
      <c r="V11" s="785"/>
      <c r="W11" s="785"/>
      <c r="X11" s="785"/>
      <c r="Y11" s="785"/>
      <c r="Z11" s="785"/>
      <c r="AA11" s="786"/>
      <c r="AB11" s="786"/>
      <c r="AC11" s="786"/>
    </row>
    <row r="12" spans="1:31" s="784" customFormat="1" ht="15" customHeight="1">
      <c r="A12" s="174">
        <v>45596</v>
      </c>
      <c r="B12" s="785"/>
      <c r="C12" s="785"/>
      <c r="D12" s="785"/>
      <c r="E12" s="785"/>
      <c r="F12" s="785"/>
      <c r="G12" s="785"/>
      <c r="H12" s="785"/>
      <c r="I12" s="785"/>
      <c r="J12" s="785"/>
      <c r="K12" s="785"/>
      <c r="L12" s="785"/>
      <c r="M12" s="785"/>
      <c r="N12" s="785"/>
      <c r="O12" s="785"/>
      <c r="P12" s="785"/>
      <c r="Q12" s="785"/>
      <c r="R12" s="785"/>
      <c r="S12" s="785"/>
      <c r="T12" s="785"/>
      <c r="U12" s="785"/>
      <c r="V12" s="785"/>
      <c r="W12" s="785"/>
      <c r="X12" s="785"/>
      <c r="Y12" s="785"/>
      <c r="Z12" s="785"/>
      <c r="AA12" s="786"/>
      <c r="AB12" s="786"/>
      <c r="AC12" s="786"/>
      <c r="AE12" s="787"/>
    </row>
    <row r="13" spans="1:31">
      <c r="A13" s="174">
        <v>45626</v>
      </c>
      <c r="B13" s="785"/>
      <c r="C13" s="785"/>
      <c r="D13" s="785"/>
      <c r="E13" s="785"/>
      <c r="F13" s="785"/>
      <c r="G13" s="785"/>
      <c r="H13" s="785"/>
      <c r="I13" s="785"/>
      <c r="J13" s="785"/>
      <c r="K13" s="785"/>
      <c r="L13" s="785"/>
      <c r="M13" s="785"/>
      <c r="N13" s="785"/>
      <c r="O13" s="785"/>
      <c r="P13" s="785"/>
      <c r="Q13" s="785"/>
      <c r="R13" s="785"/>
      <c r="S13" s="785"/>
      <c r="T13" s="785"/>
      <c r="U13" s="785"/>
      <c r="V13" s="785"/>
      <c r="W13" s="785"/>
      <c r="X13" s="785"/>
      <c r="Y13" s="785"/>
      <c r="Z13" s="785"/>
      <c r="AA13" s="786"/>
      <c r="AB13" s="788"/>
      <c r="AC13" s="788"/>
    </row>
    <row r="14" spans="1:31">
      <c r="A14" s="174">
        <v>45657</v>
      </c>
      <c r="B14" s="785"/>
      <c r="C14" s="785"/>
      <c r="D14" s="785"/>
      <c r="E14" s="785"/>
      <c r="F14" s="785"/>
      <c r="G14" s="785"/>
      <c r="H14" s="785"/>
      <c r="I14" s="785"/>
      <c r="J14" s="785"/>
      <c r="K14" s="785"/>
      <c r="L14" s="785"/>
      <c r="M14" s="785"/>
      <c r="N14" s="785"/>
      <c r="O14" s="785"/>
      <c r="P14" s="785"/>
      <c r="Q14" s="785"/>
      <c r="R14" s="785"/>
      <c r="S14" s="785"/>
      <c r="T14" s="785"/>
      <c r="U14" s="785"/>
      <c r="V14" s="785"/>
      <c r="W14" s="785"/>
      <c r="X14" s="785"/>
      <c r="Y14" s="785"/>
      <c r="Z14" s="785"/>
      <c r="AA14" s="788"/>
      <c r="AB14" s="788"/>
      <c r="AC14" s="788"/>
    </row>
    <row r="15" spans="1:31">
      <c r="A15" s="174">
        <v>45688</v>
      </c>
      <c r="B15" s="785"/>
      <c r="C15" s="785"/>
      <c r="D15" s="785"/>
      <c r="E15" s="785"/>
      <c r="F15" s="785"/>
      <c r="G15" s="785"/>
      <c r="H15" s="785"/>
      <c r="I15" s="785"/>
      <c r="J15" s="785"/>
      <c r="K15" s="785"/>
      <c r="L15" s="785"/>
      <c r="M15" s="785"/>
      <c r="N15" s="785"/>
      <c r="O15" s="785"/>
      <c r="P15" s="785"/>
      <c r="Q15" s="785"/>
      <c r="R15" s="785"/>
      <c r="S15" s="785"/>
      <c r="T15" s="785"/>
      <c r="U15" s="785"/>
      <c r="V15" s="785"/>
      <c r="W15" s="785"/>
      <c r="X15" s="785"/>
      <c r="Y15" s="785"/>
      <c r="Z15" s="785"/>
      <c r="AA15" s="788"/>
      <c r="AB15" s="788"/>
      <c r="AC15" s="788"/>
    </row>
    <row r="16" spans="1:31">
      <c r="A16" s="174">
        <v>45716</v>
      </c>
      <c r="B16" s="785"/>
      <c r="C16" s="785"/>
      <c r="D16" s="785"/>
      <c r="E16" s="785"/>
      <c r="F16" s="785"/>
      <c r="G16" s="785"/>
      <c r="H16" s="785"/>
      <c r="I16" s="785"/>
      <c r="J16" s="785"/>
      <c r="K16" s="785"/>
      <c r="L16" s="785"/>
      <c r="M16" s="785"/>
      <c r="N16" s="785"/>
      <c r="O16" s="785"/>
      <c r="P16" s="785"/>
      <c r="Q16" s="785"/>
      <c r="R16" s="785"/>
      <c r="S16" s="785"/>
      <c r="T16" s="785"/>
      <c r="U16" s="785"/>
      <c r="V16" s="785"/>
      <c r="W16" s="785"/>
      <c r="X16" s="785"/>
      <c r="Y16" s="785"/>
      <c r="Z16" s="785"/>
      <c r="AA16" s="788"/>
      <c r="AB16" s="788"/>
      <c r="AC16" s="788"/>
    </row>
    <row r="17" spans="1:29">
      <c r="A17" s="174">
        <v>45747</v>
      </c>
      <c r="B17" s="785"/>
      <c r="C17" s="785"/>
      <c r="D17" s="785"/>
      <c r="E17" s="785"/>
      <c r="F17" s="785"/>
      <c r="G17" s="785"/>
      <c r="H17" s="785"/>
      <c r="I17" s="785"/>
      <c r="J17" s="785"/>
      <c r="K17" s="785"/>
      <c r="L17" s="785"/>
      <c r="M17" s="785"/>
      <c r="N17" s="785"/>
      <c r="O17" s="785"/>
      <c r="P17" s="785"/>
      <c r="Q17" s="785"/>
      <c r="R17" s="785"/>
      <c r="S17" s="785"/>
      <c r="T17" s="785"/>
      <c r="U17" s="785"/>
      <c r="V17" s="785"/>
      <c r="W17" s="785"/>
      <c r="X17" s="785"/>
      <c r="Y17" s="785"/>
      <c r="Z17" s="785"/>
      <c r="AA17" s="788"/>
      <c r="AB17" s="788"/>
      <c r="AC17" s="788"/>
    </row>
    <row r="18" spans="1:29">
      <c r="A18" s="743" t="str">
        <f>"$ indicates as on "&amp;TEXT(IF(COUNT(B6:B17)=1,A6,IF(COUNT(B6:B17)=2,A7,IF(COUNT(B6:B17)=3,A8,IF(COUNT(B6:B17)=4,A9,IF(COUNT(B6:B17)=5,A10,IF(COUNT(B6:B17)=6,A11,IF(COUNT(B6:B17)=7,A12,IF(COUNT(B6:B17)=8,A13,IF(COUNT(B6:B17)=9,A14,IF(COUNT(B6:B17)=10,A15,IF(COUNT(B6:B17)=11,A16,A17))))))))))),"mmmm dd, yyyy")</f>
        <v>$ indicates as on August 31, 2024</v>
      </c>
      <c r="B18" s="4"/>
      <c r="C18" s="4"/>
      <c r="D18" s="4"/>
      <c r="E18" s="4"/>
      <c r="F18" s="4"/>
      <c r="G18" s="4"/>
      <c r="H18" s="4"/>
      <c r="I18" s="4"/>
      <c r="J18" s="4"/>
      <c r="K18" s="4"/>
      <c r="L18" s="4"/>
      <c r="M18" s="4"/>
      <c r="N18" s="4"/>
      <c r="O18" s="4"/>
      <c r="P18" s="4"/>
      <c r="Q18" s="4"/>
      <c r="R18" s="4"/>
      <c r="S18" s="4"/>
      <c r="T18" s="4"/>
      <c r="U18" s="4"/>
      <c r="V18" s="4"/>
      <c r="W18" s="4"/>
      <c r="X18" s="4"/>
      <c r="Y18" s="4"/>
      <c r="Z18" s="4"/>
    </row>
    <row r="19" spans="1:29">
      <c r="A19" s="1452" t="s">
        <v>952</v>
      </c>
      <c r="B19" s="1452"/>
      <c r="C19" s="1452"/>
      <c r="D19" s="1452"/>
      <c r="E19" s="1452"/>
      <c r="F19" s="1452"/>
      <c r="G19" s="1452"/>
      <c r="H19" s="1452"/>
      <c r="I19" s="1452"/>
      <c r="J19" s="1452"/>
      <c r="K19" s="1452"/>
      <c r="L19" s="1452"/>
      <c r="M19" s="1452"/>
      <c r="N19" s="1452"/>
      <c r="O19" s="1452"/>
      <c r="P19" s="1452"/>
      <c r="Q19" s="1452"/>
      <c r="R19" s="1452"/>
      <c r="S19" s="1452"/>
      <c r="T19" s="1452"/>
      <c r="U19" s="1452"/>
      <c r="V19" s="1452"/>
      <c r="W19" s="1452"/>
      <c r="X19" s="1452"/>
      <c r="Y19" s="1452"/>
      <c r="Z19" s="1452"/>
    </row>
    <row r="20" spans="1:29" ht="15" customHeight="1">
      <c r="A20" s="1450" t="s">
        <v>953</v>
      </c>
      <c r="B20" s="1450"/>
      <c r="C20" s="1450"/>
      <c r="D20" s="1450"/>
      <c r="E20" s="1450"/>
      <c r="F20" s="1450"/>
      <c r="G20" s="1450"/>
      <c r="H20" s="1450"/>
      <c r="I20" s="1450"/>
      <c r="J20" s="1450"/>
      <c r="K20" s="1450"/>
      <c r="L20" s="1450"/>
      <c r="M20" s="1450"/>
      <c r="N20" s="1450"/>
      <c r="O20" s="1450"/>
      <c r="P20" s="1450"/>
      <c r="Q20" s="1450"/>
      <c r="R20" s="1450"/>
      <c r="S20" s="1450"/>
      <c r="T20" s="1450"/>
      <c r="U20" s="1450"/>
      <c r="V20" s="1450"/>
      <c r="W20" s="1450"/>
      <c r="X20" s="1450"/>
      <c r="Y20" s="1450"/>
      <c r="Z20" s="1450"/>
    </row>
    <row r="21" spans="1:29" ht="15" customHeight="1">
      <c r="A21" s="1453" t="s">
        <v>1393</v>
      </c>
      <c r="B21" s="1453"/>
      <c r="C21" s="1453"/>
      <c r="D21" s="1453"/>
      <c r="E21" s="1453"/>
      <c r="F21" s="1453"/>
      <c r="G21" s="1453"/>
      <c r="H21" s="1453"/>
      <c r="I21" s="1453"/>
      <c r="J21" s="1453"/>
      <c r="K21" s="1453"/>
      <c r="L21" s="1453"/>
      <c r="M21" s="1453"/>
      <c r="N21" s="1453"/>
      <c r="O21" s="1453"/>
      <c r="P21" s="1453"/>
      <c r="Q21" s="1453"/>
      <c r="R21" s="1453"/>
      <c r="S21" s="1453"/>
      <c r="T21" s="1453"/>
      <c r="U21" s="1453"/>
      <c r="V21" s="1453"/>
      <c r="W21" s="1453"/>
      <c r="X21" s="1453"/>
      <c r="Y21" s="1453"/>
      <c r="Z21" s="1453"/>
    </row>
    <row r="22" spans="1:29">
      <c r="A22" s="787"/>
    </row>
  </sheetData>
  <mergeCells count="19">
    <mergeCell ref="AB2:AC2"/>
    <mergeCell ref="A1:Z1"/>
    <mergeCell ref="A2:A3"/>
    <mergeCell ref="B2:C2"/>
    <mergeCell ref="D2:E2"/>
    <mergeCell ref="F2:G2"/>
    <mergeCell ref="H2:I2"/>
    <mergeCell ref="J2:K2"/>
    <mergeCell ref="L2:M2"/>
    <mergeCell ref="N2:O2"/>
    <mergeCell ref="P2:Q2"/>
    <mergeCell ref="A19:Z19"/>
    <mergeCell ref="A20:Z20"/>
    <mergeCell ref="A21:Z21"/>
    <mergeCell ref="R2:S2"/>
    <mergeCell ref="T2:U2"/>
    <mergeCell ref="V2:W2"/>
    <mergeCell ref="X2:Y2"/>
    <mergeCell ref="Z2:AA2"/>
  </mergeCells>
  <printOptions horizontalCentered="1"/>
  <pageMargins left="0.7" right="0.7" top="0.75" bottom="0.75" header="0.3" footer="0.3"/>
  <pageSetup paperSize="9" fitToHeight="0" orientation="landscape" r:id="rId1"/>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3"/>
  <sheetViews>
    <sheetView workbookViewId="0">
      <selection sqref="A1:J1"/>
    </sheetView>
  </sheetViews>
  <sheetFormatPr defaultRowHeight="15"/>
  <cols>
    <col min="1" max="1" width="20.7109375" style="201" bestFit="1" customWidth="1"/>
    <col min="2" max="9" width="12.140625" style="201" customWidth="1"/>
    <col min="10" max="10" width="10.28515625" style="201" customWidth="1"/>
    <col min="11" max="16384" width="9.140625" style="201"/>
  </cols>
  <sheetData>
    <row r="1" spans="1:10" s="789" customFormat="1" ht="15" customHeight="1">
      <c r="A1" s="1464" t="s">
        <v>954</v>
      </c>
      <c r="B1" s="1465"/>
      <c r="C1" s="1465"/>
      <c r="D1" s="1465"/>
      <c r="E1" s="1465"/>
      <c r="F1" s="1465"/>
      <c r="G1" s="1465"/>
      <c r="H1" s="1465"/>
      <c r="I1" s="1465"/>
      <c r="J1" s="1465"/>
    </row>
    <row r="2" spans="1:10" ht="15" customHeight="1">
      <c r="A2" s="1466" t="s">
        <v>955</v>
      </c>
      <c r="B2" s="1468" t="s">
        <v>956</v>
      </c>
      <c r="C2" s="1468"/>
      <c r="D2" s="1468"/>
      <c r="E2" s="1468"/>
      <c r="F2" s="1468"/>
      <c r="G2" s="1468"/>
      <c r="H2" s="1468"/>
      <c r="I2" s="1468"/>
      <c r="J2" s="1468"/>
    </row>
    <row r="3" spans="1:10">
      <c r="A3" s="1467"/>
      <c r="B3" s="790">
        <v>44713</v>
      </c>
      <c r="C3" s="790">
        <v>44805</v>
      </c>
      <c r="D3" s="791">
        <v>44896</v>
      </c>
      <c r="E3" s="791">
        <v>44986</v>
      </c>
      <c r="F3" s="791">
        <v>45078</v>
      </c>
      <c r="G3" s="791">
        <v>45170</v>
      </c>
      <c r="H3" s="791">
        <v>45261</v>
      </c>
      <c r="I3" s="791">
        <v>45352</v>
      </c>
      <c r="J3" s="791">
        <v>45444</v>
      </c>
    </row>
    <row r="4" spans="1:10">
      <c r="A4" s="792" t="s">
        <v>957</v>
      </c>
      <c r="B4" s="793">
        <v>3110</v>
      </c>
      <c r="C4" s="793">
        <v>3176</v>
      </c>
      <c r="D4" s="793">
        <v>3176</v>
      </c>
      <c r="E4" s="794">
        <v>3448</v>
      </c>
      <c r="F4" s="795">
        <v>2300</v>
      </c>
      <c r="G4" s="796">
        <v>2072</v>
      </c>
      <c r="H4" s="797">
        <v>2138</v>
      </c>
      <c r="I4" s="798">
        <v>2040</v>
      </c>
      <c r="J4" s="798">
        <v>1953</v>
      </c>
    </row>
    <row r="5" spans="1:10">
      <c r="A5" s="792" t="s">
        <v>958</v>
      </c>
      <c r="B5" s="793">
        <v>133</v>
      </c>
      <c r="C5" s="793">
        <v>166</v>
      </c>
      <c r="D5" s="793">
        <v>57</v>
      </c>
      <c r="E5" s="794">
        <v>166</v>
      </c>
      <c r="F5" s="795">
        <v>271</v>
      </c>
      <c r="G5" s="796">
        <v>136</v>
      </c>
      <c r="H5" s="797">
        <v>461</v>
      </c>
      <c r="I5" s="798">
        <v>494</v>
      </c>
      <c r="J5" s="798">
        <v>166</v>
      </c>
    </row>
    <row r="6" spans="1:10">
      <c r="A6" s="792" t="s">
        <v>959</v>
      </c>
      <c r="B6" s="793">
        <v>687</v>
      </c>
      <c r="C6" s="793">
        <v>687</v>
      </c>
      <c r="D6" s="793">
        <v>656</v>
      </c>
      <c r="E6" s="794">
        <v>656</v>
      </c>
      <c r="F6" s="795">
        <v>656</v>
      </c>
      <c r="G6" s="796">
        <v>564</v>
      </c>
      <c r="H6" s="797">
        <v>658</v>
      </c>
      <c r="I6" s="798">
        <v>658</v>
      </c>
      <c r="J6" s="798">
        <v>606</v>
      </c>
    </row>
    <row r="7" spans="1:10">
      <c r="A7" s="792" t="s">
        <v>960</v>
      </c>
      <c r="B7" s="793">
        <v>0</v>
      </c>
      <c r="C7" s="793">
        <v>0</v>
      </c>
      <c r="D7" s="793">
        <v>0</v>
      </c>
      <c r="E7" s="794">
        <v>0</v>
      </c>
      <c r="F7" s="795">
        <v>0</v>
      </c>
      <c r="G7" s="796">
        <v>45</v>
      </c>
      <c r="H7" s="797">
        <v>0</v>
      </c>
      <c r="I7" s="798">
        <v>0</v>
      </c>
      <c r="J7" s="798">
        <v>0</v>
      </c>
    </row>
    <row r="8" spans="1:10">
      <c r="A8" s="792" t="s">
        <v>961</v>
      </c>
      <c r="B8" s="793">
        <v>547</v>
      </c>
      <c r="C8" s="793">
        <v>581</v>
      </c>
      <c r="D8" s="793">
        <v>213</v>
      </c>
      <c r="E8" s="794">
        <v>219</v>
      </c>
      <c r="F8" s="795">
        <v>219</v>
      </c>
      <c r="G8" s="796">
        <v>187</v>
      </c>
      <c r="H8" s="797">
        <v>180</v>
      </c>
      <c r="I8" s="798">
        <v>219</v>
      </c>
      <c r="J8" s="798">
        <v>219</v>
      </c>
    </row>
    <row r="9" spans="1:10">
      <c r="A9" s="792" t="s">
        <v>962</v>
      </c>
      <c r="B9" s="793">
        <v>213</v>
      </c>
      <c r="C9" s="793">
        <v>206</v>
      </c>
      <c r="D9" s="793">
        <v>197</v>
      </c>
      <c r="E9" s="794">
        <v>1416</v>
      </c>
      <c r="F9" s="795">
        <v>2066</v>
      </c>
      <c r="G9" s="796">
        <v>2106</v>
      </c>
      <c r="H9" s="797">
        <v>1899</v>
      </c>
      <c r="I9" s="798">
        <v>1649</v>
      </c>
      <c r="J9" s="798">
        <v>1355</v>
      </c>
    </row>
    <row r="10" spans="1:10">
      <c r="A10" s="792" t="s">
        <v>963</v>
      </c>
      <c r="B10" s="793">
        <v>12</v>
      </c>
      <c r="C10" s="793">
        <v>42</v>
      </c>
      <c r="D10" s="793">
        <v>12</v>
      </c>
      <c r="E10" s="794">
        <v>12</v>
      </c>
      <c r="F10" s="795">
        <v>632</v>
      </c>
      <c r="G10" s="796">
        <v>316</v>
      </c>
      <c r="H10" s="797">
        <v>188</v>
      </c>
      <c r="I10" s="798">
        <v>188</v>
      </c>
      <c r="J10" s="798">
        <v>44</v>
      </c>
    </row>
    <row r="11" spans="1:10">
      <c r="A11" s="792" t="s">
        <v>300</v>
      </c>
      <c r="B11" s="793">
        <v>35000</v>
      </c>
      <c r="C11" s="793">
        <v>39239</v>
      </c>
      <c r="D11" s="793">
        <v>37132</v>
      </c>
      <c r="E11" s="794">
        <v>42369</v>
      </c>
      <c r="F11" s="795">
        <v>37055</v>
      </c>
      <c r="G11" s="799">
        <v>42119</v>
      </c>
      <c r="H11" s="797">
        <v>41728</v>
      </c>
      <c r="I11" s="798">
        <v>48673</v>
      </c>
      <c r="J11" s="798">
        <v>48854</v>
      </c>
    </row>
    <row r="12" spans="1:10">
      <c r="A12" s="800" t="s">
        <v>96</v>
      </c>
      <c r="B12" s="801">
        <f t="shared" ref="B12:I12" si="0">SUM(B4:B11)</f>
        <v>39702</v>
      </c>
      <c r="C12" s="801">
        <f t="shared" si="0"/>
        <v>44097</v>
      </c>
      <c r="D12" s="801">
        <f t="shared" si="0"/>
        <v>41443</v>
      </c>
      <c r="E12" s="801">
        <f t="shared" si="0"/>
        <v>48286</v>
      </c>
      <c r="F12" s="801">
        <f t="shared" si="0"/>
        <v>43199</v>
      </c>
      <c r="G12" s="801">
        <f t="shared" si="0"/>
        <v>47545</v>
      </c>
      <c r="H12" s="801">
        <f t="shared" si="0"/>
        <v>47252</v>
      </c>
      <c r="I12" s="801">
        <f t="shared" si="0"/>
        <v>53921</v>
      </c>
      <c r="J12" s="801">
        <v>53197</v>
      </c>
    </row>
    <row r="13" spans="1:10">
      <c r="A13" s="1164" t="s">
        <v>964</v>
      </c>
      <c r="B13" s="802"/>
      <c r="C13" s="802"/>
      <c r="D13" s="803"/>
      <c r="E13" s="803"/>
      <c r="F13" s="803"/>
      <c r="G13" s="803"/>
      <c r="H13" s="803"/>
      <c r="I13" s="803"/>
      <c r="J13" s="803"/>
    </row>
  </sheetData>
  <mergeCells count="3">
    <mergeCell ref="A1:J1"/>
    <mergeCell ref="A2:A3"/>
    <mergeCell ref="B2:J2"/>
  </mergeCells>
  <printOptions horizontalCentered="1"/>
  <pageMargins left="0.7" right="0.7" top="0.75" bottom="0.75" header="0.3" footer="0.3"/>
  <pageSetup paperSize="9" orientation="landscape" r:id="rId1"/>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22"/>
  <sheetViews>
    <sheetView workbookViewId="0">
      <selection sqref="A1:K1"/>
    </sheetView>
  </sheetViews>
  <sheetFormatPr defaultColWidth="9.140625" defaultRowHeight="15"/>
  <cols>
    <col min="1" max="1" width="14.5703125" style="331" bestFit="1" customWidth="1"/>
    <col min="2" max="3" width="17.7109375" style="331" bestFit="1" customWidth="1"/>
    <col min="4" max="4" width="19.28515625" style="331" bestFit="1" customWidth="1"/>
    <col min="5" max="6" width="17.7109375" style="331" bestFit="1" customWidth="1"/>
    <col min="7" max="7" width="18.5703125" style="331" bestFit="1" customWidth="1"/>
    <col min="8" max="8" width="15.28515625" style="331" bestFit="1" customWidth="1"/>
    <col min="9" max="9" width="13.85546875" style="331" bestFit="1" customWidth="1"/>
    <col min="10" max="10" width="15.42578125" style="331" bestFit="1" customWidth="1"/>
    <col min="11" max="11" width="19.5703125" style="331" bestFit="1" customWidth="1"/>
    <col min="12" max="13" width="13.7109375" style="787" bestFit="1" customWidth="1"/>
    <col min="14" max="16384" width="9.140625" style="787"/>
  </cols>
  <sheetData>
    <row r="1" spans="1:13" ht="15" customHeight="1">
      <c r="A1" s="1470" t="s">
        <v>965</v>
      </c>
      <c r="B1" s="1470"/>
      <c r="C1" s="1470"/>
      <c r="D1" s="1470"/>
      <c r="E1" s="1470"/>
      <c r="F1" s="1470"/>
      <c r="G1" s="1470"/>
      <c r="H1" s="1470"/>
      <c r="I1" s="1470"/>
      <c r="J1" s="1470"/>
      <c r="K1" s="1470"/>
    </row>
    <row r="2" spans="1:13" s="784" customFormat="1" ht="15" customHeight="1">
      <c r="A2" s="1462" t="s">
        <v>116</v>
      </c>
      <c r="B2" s="1462" t="s">
        <v>966</v>
      </c>
      <c r="C2" s="1462"/>
      <c r="D2" s="1462"/>
      <c r="E2" s="1471" t="s">
        <v>967</v>
      </c>
      <c r="F2" s="1471"/>
      <c r="G2" s="1471"/>
      <c r="H2" s="1462" t="s">
        <v>968</v>
      </c>
      <c r="I2" s="1462"/>
      <c r="J2" s="1462"/>
      <c r="K2" s="1472" t="s">
        <v>969</v>
      </c>
    </row>
    <row r="3" spans="1:13" s="784" customFormat="1">
      <c r="A3" s="1471"/>
      <c r="B3" s="804" t="s">
        <v>970</v>
      </c>
      <c r="C3" s="804" t="s">
        <v>971</v>
      </c>
      <c r="D3" s="804" t="s">
        <v>96</v>
      </c>
      <c r="E3" s="804" t="s">
        <v>970</v>
      </c>
      <c r="F3" s="804" t="s">
        <v>971</v>
      </c>
      <c r="G3" s="804" t="s">
        <v>96</v>
      </c>
      <c r="H3" s="804" t="s">
        <v>970</v>
      </c>
      <c r="I3" s="804" t="s">
        <v>971</v>
      </c>
      <c r="J3" s="804" t="s">
        <v>96</v>
      </c>
      <c r="K3" s="1472"/>
    </row>
    <row r="4" spans="1:13" s="807" customFormat="1">
      <c r="A4" s="805" t="s">
        <v>518</v>
      </c>
      <c r="B4" s="806">
        <v>8841564.8542797305</v>
      </c>
      <c r="C4" s="806">
        <v>2606649.9309260407</v>
      </c>
      <c r="D4" s="806">
        <v>11448214.78520577</v>
      </c>
      <c r="E4" s="806">
        <v>8532666.8482885826</v>
      </c>
      <c r="F4" s="806">
        <v>2560846.6137513546</v>
      </c>
      <c r="G4" s="806">
        <v>11093513.462039936</v>
      </c>
      <c r="H4" s="806">
        <v>308898.00599114149</v>
      </c>
      <c r="I4" s="806">
        <v>45803.317174686148</v>
      </c>
      <c r="J4" s="806">
        <v>354701.32316582766</v>
      </c>
      <c r="K4" s="806">
        <v>5340194.6749522863</v>
      </c>
    </row>
    <row r="5" spans="1:13" s="807" customFormat="1">
      <c r="A5" s="805" t="s">
        <v>743</v>
      </c>
      <c r="B5" s="808">
        <f>SUM(B6:B17)</f>
        <v>4342167.0008178279</v>
      </c>
      <c r="C5" s="808">
        <f t="shared" ref="C5:J5" si="0">SUM(C6:C17)</f>
        <v>1133000.2268086527</v>
      </c>
      <c r="D5" s="808">
        <f>SUM(D6:D17)</f>
        <v>5475167.2276264802</v>
      </c>
      <c r="E5" s="808">
        <f t="shared" si="0"/>
        <v>3836867.2852019449</v>
      </c>
      <c r="F5" s="808">
        <f t="shared" si="0"/>
        <v>1035019.504084894</v>
      </c>
      <c r="G5" s="808">
        <f t="shared" si="0"/>
        <v>4871886.7892868388</v>
      </c>
      <c r="H5" s="808">
        <f t="shared" si="0"/>
        <v>505299.71561588341</v>
      </c>
      <c r="I5" s="808">
        <f t="shared" si="0"/>
        <v>97980.722723758561</v>
      </c>
      <c r="J5" s="808">
        <f t="shared" si="0"/>
        <v>603280.43833964202</v>
      </c>
      <c r="K5" s="809">
        <f>INDEX(K6:K17,COUNT(K6:K17))</f>
        <v>6670305.1594206765</v>
      </c>
    </row>
    <row r="6" spans="1:13" s="784" customFormat="1">
      <c r="A6" s="174">
        <v>45412</v>
      </c>
      <c r="B6" s="810">
        <v>881430.02513550152</v>
      </c>
      <c r="C6" s="810">
        <v>233054.31953251455</v>
      </c>
      <c r="D6" s="810">
        <f>B6+C6</f>
        <v>1114484.3446680161</v>
      </c>
      <c r="E6" s="810">
        <v>681885.24491182459</v>
      </c>
      <c r="F6" s="810">
        <v>193366.30208995071</v>
      </c>
      <c r="G6" s="810">
        <f>E6+F6</f>
        <v>875251.54700177535</v>
      </c>
      <c r="H6" s="810">
        <v>199544.78022367728</v>
      </c>
      <c r="I6" s="810">
        <v>39688.017442563738</v>
      </c>
      <c r="J6" s="810">
        <f>H6+I6</f>
        <v>239232.79766624101</v>
      </c>
      <c r="K6" s="811">
        <v>5725898.0232708147</v>
      </c>
    </row>
    <row r="7" spans="1:13" s="784" customFormat="1">
      <c r="A7" s="174">
        <v>45443</v>
      </c>
      <c r="B7" s="810">
        <v>792839.22503205109</v>
      </c>
      <c r="C7" s="810">
        <v>195701.39598213934</v>
      </c>
      <c r="D7" s="810">
        <v>988540.6210141906</v>
      </c>
      <c r="E7" s="810">
        <v>690962.66577725741</v>
      </c>
      <c r="F7" s="810">
        <v>187060.94780343864</v>
      </c>
      <c r="G7" s="810">
        <v>878023.61358069605</v>
      </c>
      <c r="H7" s="810">
        <v>101876.5592547931</v>
      </c>
      <c r="I7" s="810">
        <v>8640.4481787007244</v>
      </c>
      <c r="J7" s="810">
        <v>110517.00743349385</v>
      </c>
      <c r="K7" s="810">
        <v>5891160.5167409051</v>
      </c>
    </row>
    <row r="8" spans="1:13" s="784" customFormat="1">
      <c r="A8" s="174">
        <v>45473</v>
      </c>
      <c r="B8" s="810">
        <v>836611.86083407258</v>
      </c>
      <c r="C8" s="810">
        <v>222192.46142933128</v>
      </c>
      <c r="D8" s="810">
        <v>1058804.3222634038</v>
      </c>
      <c r="E8" s="810">
        <v>878194.62179201376</v>
      </c>
      <c r="F8" s="810">
        <v>224246.28983096097</v>
      </c>
      <c r="G8" s="810">
        <v>1102440.9116229748</v>
      </c>
      <c r="H8" s="810">
        <v>-41582.760957941238</v>
      </c>
      <c r="I8" s="810">
        <v>-2053.8284016295001</v>
      </c>
      <c r="J8" s="810">
        <v>-43636.58935957076</v>
      </c>
      <c r="K8" s="810">
        <v>6115581.8946445212</v>
      </c>
    </row>
    <row r="9" spans="1:13" s="784" customFormat="1">
      <c r="A9" s="174">
        <v>45504</v>
      </c>
      <c r="B9" s="810">
        <v>988217.0189983747</v>
      </c>
      <c r="C9" s="810">
        <v>245322.21305601485</v>
      </c>
      <c r="D9" s="810">
        <v>1233539.2320543891</v>
      </c>
      <c r="E9" s="810">
        <v>828405.8775189044</v>
      </c>
      <c r="F9" s="810">
        <v>216089.6102756497</v>
      </c>
      <c r="G9" s="810">
        <v>1044495.4877945539</v>
      </c>
      <c r="H9" s="810">
        <v>159811.14147947083</v>
      </c>
      <c r="I9" s="810">
        <v>29232.602780365043</v>
      </c>
      <c r="J9" s="810">
        <v>189043.74425983592</v>
      </c>
      <c r="K9" s="810">
        <v>6496653.0700000003</v>
      </c>
      <c r="L9" s="812"/>
      <c r="M9" s="813"/>
    </row>
    <row r="10" spans="1:13">
      <c r="A10" s="174">
        <v>45535</v>
      </c>
      <c r="B10" s="810">
        <v>843068.87081782799</v>
      </c>
      <c r="C10" s="810">
        <v>236729.83680865273</v>
      </c>
      <c r="D10" s="810">
        <v>1079798.7076264806</v>
      </c>
      <c r="E10" s="810">
        <v>757418.87520194473</v>
      </c>
      <c r="F10" s="810">
        <v>214256.35408489394</v>
      </c>
      <c r="G10" s="810">
        <v>971675.22928683879</v>
      </c>
      <c r="H10" s="810">
        <v>85649.995615883439</v>
      </c>
      <c r="I10" s="810">
        <v>22473.482723758556</v>
      </c>
      <c r="J10" s="810">
        <v>108123.478339642</v>
      </c>
      <c r="K10" s="810">
        <v>6670305.1594206765</v>
      </c>
    </row>
    <row r="11" spans="1:13">
      <c r="A11" s="174">
        <v>45565</v>
      </c>
      <c r="B11" s="785"/>
      <c r="C11" s="785"/>
      <c r="D11" s="785"/>
      <c r="E11" s="785"/>
      <c r="F11" s="785"/>
      <c r="G11" s="785"/>
      <c r="H11" s="785"/>
      <c r="I11" s="785"/>
      <c r="J11" s="785"/>
      <c r="K11" s="785"/>
    </row>
    <row r="12" spans="1:13">
      <c r="A12" s="174">
        <v>45596</v>
      </c>
      <c r="B12" s="785"/>
      <c r="C12" s="785"/>
      <c r="D12" s="785"/>
      <c r="E12" s="785"/>
      <c r="F12" s="785"/>
      <c r="G12" s="785"/>
      <c r="H12" s="785"/>
      <c r="I12" s="785"/>
      <c r="J12" s="785"/>
      <c r="K12" s="785"/>
    </row>
    <row r="13" spans="1:13">
      <c r="A13" s="174">
        <v>45626</v>
      </c>
      <c r="B13" s="785"/>
      <c r="C13" s="785"/>
      <c r="D13" s="785"/>
      <c r="E13" s="785"/>
      <c r="F13" s="785"/>
      <c r="G13" s="785"/>
      <c r="H13" s="785"/>
      <c r="I13" s="785"/>
      <c r="J13" s="785"/>
      <c r="K13" s="785"/>
    </row>
    <row r="14" spans="1:13">
      <c r="A14" s="174">
        <v>45657</v>
      </c>
      <c r="B14" s="785"/>
      <c r="C14" s="785"/>
      <c r="D14" s="785"/>
      <c r="E14" s="785"/>
      <c r="F14" s="785"/>
      <c r="G14" s="785"/>
      <c r="H14" s="785"/>
      <c r="I14" s="785"/>
      <c r="J14" s="785"/>
      <c r="K14" s="785"/>
    </row>
    <row r="15" spans="1:13">
      <c r="A15" s="174">
        <v>45688</v>
      </c>
      <c r="B15" s="785"/>
      <c r="C15" s="785"/>
      <c r="D15" s="785"/>
      <c r="E15" s="785"/>
      <c r="F15" s="785"/>
      <c r="G15" s="785"/>
      <c r="H15" s="785"/>
      <c r="I15" s="785"/>
      <c r="J15" s="785"/>
      <c r="K15" s="785"/>
    </row>
    <row r="16" spans="1:13">
      <c r="A16" s="174">
        <v>45716</v>
      </c>
      <c r="B16" s="785"/>
      <c r="C16" s="785"/>
      <c r="D16" s="785"/>
      <c r="E16" s="785"/>
      <c r="F16" s="785"/>
      <c r="G16" s="785"/>
      <c r="H16" s="785"/>
      <c r="I16" s="785"/>
      <c r="J16" s="785"/>
      <c r="K16" s="785"/>
    </row>
    <row r="17" spans="1:11">
      <c r="A17" s="174">
        <v>45747</v>
      </c>
      <c r="B17" s="785"/>
      <c r="C17" s="785"/>
      <c r="D17" s="785"/>
      <c r="E17" s="785"/>
      <c r="F17" s="785"/>
      <c r="G17" s="785"/>
      <c r="H17" s="785"/>
      <c r="I17" s="785"/>
      <c r="J17" s="785"/>
      <c r="K17" s="785"/>
    </row>
    <row r="18" spans="1:11" ht="15" customHeight="1">
      <c r="A18" s="743" t="str">
        <f>"$ indicates as on "&amp;TEXT(IF(COUNT(B6:B17)=1,A6,IF(COUNT(B6:B17)=2,A7,IF(COUNT(B6:B17)=3,A8,IF(COUNT(B6:B17)=4,A9,IF(COUNT(B6:B17)=5,A10,IF(COUNT(B6:B17)=6,A11,IF(COUNT(B6:B17)=7,A12,IF(COUNT(B6:B17)=8,A13,IF(COUNT(B6:B17)=9,A14,IF(COUNT(B6:B17)=10,A15,IF(COUNT(B6:B17)=11,A16,A17))))))))))),"mmmm dd, yyyy")</f>
        <v>$ indicates as on August 31, 2024</v>
      </c>
      <c r="B18" s="1154"/>
      <c r="C18" s="1154"/>
      <c r="D18" s="1154"/>
      <c r="E18" s="1154"/>
      <c r="F18" s="1154"/>
      <c r="G18" s="1154"/>
      <c r="H18" s="1154"/>
      <c r="I18" s="1154"/>
      <c r="J18" s="1154"/>
      <c r="K18" s="1154"/>
    </row>
    <row r="19" spans="1:11" ht="15" customHeight="1">
      <c r="A19" s="1452" t="s">
        <v>972</v>
      </c>
      <c r="B19" s="1452"/>
      <c r="C19" s="1452"/>
      <c r="D19" s="1452"/>
      <c r="E19" s="1452"/>
      <c r="F19" s="1452"/>
      <c r="G19" s="1452"/>
      <c r="H19" s="1452"/>
      <c r="I19" s="1452"/>
      <c r="J19" s="1452"/>
      <c r="K19" s="1452"/>
    </row>
    <row r="20" spans="1:11">
      <c r="A20" s="1469" t="s">
        <v>130</v>
      </c>
      <c r="B20" s="1469"/>
      <c r="C20" s="1469"/>
      <c r="D20" s="1469"/>
      <c r="E20" s="1469"/>
      <c r="F20" s="1469"/>
      <c r="G20" s="1469"/>
      <c r="H20" s="1469"/>
      <c r="I20" s="1469"/>
      <c r="J20" s="1469"/>
      <c r="K20" s="1469"/>
    </row>
    <row r="22" spans="1:11">
      <c r="B22" s="529"/>
      <c r="C22" s="529"/>
      <c r="D22" s="529"/>
      <c r="E22" s="529"/>
      <c r="F22" s="529"/>
      <c r="G22" s="529"/>
      <c r="H22" s="529"/>
      <c r="I22" s="529"/>
      <c r="J22" s="529"/>
      <c r="K22" s="529"/>
    </row>
  </sheetData>
  <mergeCells count="8">
    <mergeCell ref="A19:K19"/>
    <mergeCell ref="A20:K20"/>
    <mergeCell ref="A1:K1"/>
    <mergeCell ref="A2:A3"/>
    <mergeCell ref="B2:D2"/>
    <mergeCell ref="E2:G2"/>
    <mergeCell ref="H2:J2"/>
    <mergeCell ref="K2:K3"/>
  </mergeCells>
  <pageMargins left="0.7" right="0.7" top="0.75" bottom="0.75" header="0.3" footer="0.3"/>
  <pageSetup paperSize="9" orientation="landscape" r:id="rId1"/>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100"/>
  <sheetViews>
    <sheetView workbookViewId="0">
      <selection sqref="A1:D1"/>
    </sheetView>
  </sheetViews>
  <sheetFormatPr defaultColWidth="8.85546875" defaultRowHeight="15"/>
  <cols>
    <col min="1" max="1" width="8.140625" style="822" bestFit="1" customWidth="1"/>
    <col min="2" max="2" width="43.28515625" style="822" customWidth="1"/>
    <col min="3" max="3" width="12.42578125" style="822" bestFit="1" customWidth="1"/>
    <col min="4" max="4" width="19.5703125" style="822" bestFit="1" customWidth="1"/>
    <col min="5" max="6" width="18.42578125" style="822" bestFit="1" customWidth="1"/>
    <col min="7" max="7" width="16.140625" style="822" bestFit="1" customWidth="1"/>
    <col min="8" max="8" width="16.5703125" style="822" bestFit="1" customWidth="1"/>
    <col min="9" max="9" width="16.42578125" style="839" bestFit="1" customWidth="1"/>
    <col min="10" max="10" width="19.5703125" style="839" bestFit="1" customWidth="1"/>
    <col min="11" max="11" width="15.7109375" style="839" bestFit="1" customWidth="1"/>
    <col min="12" max="12" width="15.85546875" style="839" bestFit="1" customWidth="1"/>
    <col min="13" max="13" width="17.28515625" style="839" bestFit="1" customWidth="1"/>
    <col min="14" max="14" width="17" style="839" bestFit="1" customWidth="1"/>
    <col min="15" max="16384" width="8.85546875" style="822"/>
  </cols>
  <sheetData>
    <row r="1" spans="1:14" s="814" customFormat="1" ht="15" customHeight="1">
      <c r="A1" s="1473" t="s">
        <v>54</v>
      </c>
      <c r="B1" s="1473"/>
      <c r="C1" s="1473"/>
      <c r="D1" s="1473"/>
      <c r="I1" s="815"/>
      <c r="J1" s="815"/>
      <c r="K1" s="815"/>
      <c r="L1" s="815"/>
      <c r="M1" s="815"/>
      <c r="N1" s="815"/>
    </row>
    <row r="2" spans="1:14" s="814" customFormat="1">
      <c r="A2" s="1474" t="s">
        <v>1415</v>
      </c>
      <c r="B2" s="1474" t="s">
        <v>973</v>
      </c>
      <c r="C2" s="1476" t="s">
        <v>72</v>
      </c>
      <c r="D2" s="1477"/>
      <c r="E2" s="1477"/>
      <c r="F2" s="1477"/>
      <c r="G2" s="1477"/>
      <c r="H2" s="1477"/>
      <c r="I2" s="1476" t="s">
        <v>743</v>
      </c>
      <c r="J2" s="1477"/>
      <c r="K2" s="1477"/>
      <c r="L2" s="1477"/>
      <c r="M2" s="1477"/>
      <c r="N2" s="1477"/>
    </row>
    <row r="3" spans="1:14" s="817" customFormat="1" ht="105">
      <c r="A3" s="1475"/>
      <c r="B3" s="1474"/>
      <c r="C3" s="816" t="s">
        <v>974</v>
      </c>
      <c r="D3" s="816" t="s">
        <v>975</v>
      </c>
      <c r="E3" s="816" t="s">
        <v>976</v>
      </c>
      <c r="F3" s="816" t="s">
        <v>977</v>
      </c>
      <c r="G3" s="816" t="s">
        <v>978</v>
      </c>
      <c r="H3" s="816" t="s">
        <v>979</v>
      </c>
      <c r="I3" s="816" t="s">
        <v>1423</v>
      </c>
      <c r="J3" s="816" t="s">
        <v>1424</v>
      </c>
      <c r="K3" s="816" t="s">
        <v>1425</v>
      </c>
      <c r="L3" s="816" t="s">
        <v>1426</v>
      </c>
      <c r="M3" s="816" t="s">
        <v>1427</v>
      </c>
      <c r="N3" s="816" t="s">
        <v>1428</v>
      </c>
    </row>
    <row r="4" spans="1:14" s="814" customFormat="1">
      <c r="A4" s="818" t="s">
        <v>980</v>
      </c>
      <c r="B4" s="819" t="s">
        <v>981</v>
      </c>
      <c r="C4" s="820"/>
      <c r="D4" s="820"/>
      <c r="E4" s="821"/>
      <c r="F4" s="820"/>
      <c r="G4" s="820"/>
      <c r="H4" s="820"/>
      <c r="I4" s="820"/>
      <c r="J4" s="820"/>
      <c r="K4" s="821"/>
      <c r="L4" s="820"/>
      <c r="M4" s="820"/>
      <c r="N4" s="820"/>
    </row>
    <row r="5" spans="1:14">
      <c r="A5" s="819" t="s">
        <v>982</v>
      </c>
      <c r="B5" s="819" t="s">
        <v>983</v>
      </c>
      <c r="C5" s="820"/>
      <c r="D5" s="820"/>
      <c r="E5" s="821"/>
      <c r="F5" s="821"/>
      <c r="G5" s="821"/>
      <c r="H5" s="821"/>
      <c r="I5" s="820"/>
      <c r="J5" s="820"/>
      <c r="K5" s="821"/>
      <c r="L5" s="821"/>
      <c r="M5" s="821"/>
      <c r="N5" s="821"/>
    </row>
    <row r="6" spans="1:14">
      <c r="A6" s="823">
        <v>1</v>
      </c>
      <c r="B6" s="824" t="s">
        <v>984</v>
      </c>
      <c r="C6" s="825">
        <v>34</v>
      </c>
      <c r="D6" s="825">
        <v>787375</v>
      </c>
      <c r="E6" s="825">
        <v>2549033.3660787628</v>
      </c>
      <c r="F6" s="825">
        <v>2566071.2468651729</v>
      </c>
      <c r="G6" s="825">
        <v>-17037.880786410846</v>
      </c>
      <c r="H6" s="825">
        <v>82048.330541344068</v>
      </c>
      <c r="I6" s="825">
        <v>35</v>
      </c>
      <c r="J6" s="825">
        <v>863086</v>
      </c>
      <c r="K6" s="825">
        <v>2241303.0192220379</v>
      </c>
      <c r="L6" s="825">
        <v>2219048.1423582938</v>
      </c>
      <c r="M6" s="825">
        <v>22254.87686374407</v>
      </c>
      <c r="N6" s="825">
        <v>86100.270864168619</v>
      </c>
    </row>
    <row r="7" spans="1:14">
      <c r="A7" s="823">
        <v>2</v>
      </c>
      <c r="B7" s="824" t="s">
        <v>985</v>
      </c>
      <c r="C7" s="825">
        <v>36</v>
      </c>
      <c r="D7" s="825">
        <v>1797810</v>
      </c>
      <c r="E7" s="825">
        <v>2017947.226804839</v>
      </c>
      <c r="F7" s="825">
        <v>1987100.9533116657</v>
      </c>
      <c r="G7" s="825">
        <v>30846.273493173274</v>
      </c>
      <c r="H7" s="825">
        <v>378356.38879828155</v>
      </c>
      <c r="I7" s="825">
        <v>36</v>
      </c>
      <c r="J7" s="825">
        <v>1790910</v>
      </c>
      <c r="K7" s="825">
        <v>1946095.0314178923</v>
      </c>
      <c r="L7" s="825">
        <v>1814168.4406157283</v>
      </c>
      <c r="M7" s="825">
        <v>131926.59080216431</v>
      </c>
      <c r="N7" s="825">
        <v>510165.3705372056</v>
      </c>
    </row>
    <row r="8" spans="1:14">
      <c r="A8" s="823">
        <v>3</v>
      </c>
      <c r="B8" s="824" t="s">
        <v>986</v>
      </c>
      <c r="C8" s="825">
        <v>24</v>
      </c>
      <c r="D8" s="825">
        <v>644072</v>
      </c>
      <c r="E8" s="825">
        <v>109331.08305881255</v>
      </c>
      <c r="F8" s="825">
        <v>99395.912645713062</v>
      </c>
      <c r="G8" s="825">
        <v>9935.1704130994804</v>
      </c>
      <c r="H8" s="825">
        <v>92386.339710373257</v>
      </c>
      <c r="I8" s="825">
        <v>25</v>
      </c>
      <c r="J8" s="825">
        <v>640477</v>
      </c>
      <c r="K8" s="825">
        <v>117399.55924055823</v>
      </c>
      <c r="L8" s="825">
        <v>98071.942070352801</v>
      </c>
      <c r="M8" s="825">
        <v>19327.617170205423</v>
      </c>
      <c r="N8" s="825">
        <v>105811.91490430989</v>
      </c>
    </row>
    <row r="9" spans="1:14">
      <c r="A9" s="823">
        <v>4</v>
      </c>
      <c r="B9" s="824" t="s">
        <v>987</v>
      </c>
      <c r="C9" s="825">
        <v>20</v>
      </c>
      <c r="D9" s="825">
        <v>916847</v>
      </c>
      <c r="E9" s="825">
        <v>71608.317777688251</v>
      </c>
      <c r="F9" s="825">
        <v>55482.969644488461</v>
      </c>
      <c r="G9" s="825">
        <v>16125.348133199801</v>
      </c>
      <c r="H9" s="825">
        <v>106354.10963474726</v>
      </c>
      <c r="I9" s="825">
        <v>20</v>
      </c>
      <c r="J9" s="825">
        <v>839083</v>
      </c>
      <c r="K9" s="825">
        <v>70952.478757503617</v>
      </c>
      <c r="L9" s="825">
        <v>59022.767472990185</v>
      </c>
      <c r="M9" s="825">
        <v>11929.711284513427</v>
      </c>
      <c r="N9" s="825">
        <v>105234.55883188559</v>
      </c>
    </row>
    <row r="10" spans="1:14">
      <c r="A10" s="823">
        <v>5</v>
      </c>
      <c r="B10" s="824" t="s">
        <v>988</v>
      </c>
      <c r="C10" s="825">
        <v>23</v>
      </c>
      <c r="D10" s="825">
        <v>439558</v>
      </c>
      <c r="E10" s="825">
        <v>188957.01906265874</v>
      </c>
      <c r="F10" s="825">
        <v>159896.26910931425</v>
      </c>
      <c r="G10" s="825">
        <v>29060.749953344508</v>
      </c>
      <c r="H10" s="825">
        <v>142307.36813117948</v>
      </c>
      <c r="I10" s="825">
        <v>23</v>
      </c>
      <c r="J10" s="825">
        <v>431512</v>
      </c>
      <c r="K10" s="825">
        <v>285383.03254999296</v>
      </c>
      <c r="L10" s="825">
        <v>194605.59350475928</v>
      </c>
      <c r="M10" s="825">
        <v>90777.439045233725</v>
      </c>
      <c r="N10" s="825">
        <v>245845.91412301018</v>
      </c>
    </row>
    <row r="11" spans="1:14">
      <c r="A11" s="823">
        <v>6</v>
      </c>
      <c r="B11" s="824" t="s">
        <v>989</v>
      </c>
      <c r="C11" s="825">
        <v>23</v>
      </c>
      <c r="D11" s="825">
        <v>489352</v>
      </c>
      <c r="E11" s="825">
        <v>21400.965521414237</v>
      </c>
      <c r="F11" s="825">
        <v>18108.661776973287</v>
      </c>
      <c r="G11" s="825">
        <v>3292.3037444409483</v>
      </c>
      <c r="H11" s="825">
        <v>98287.496889507558</v>
      </c>
      <c r="I11" s="825">
        <v>23</v>
      </c>
      <c r="J11" s="825">
        <v>439164</v>
      </c>
      <c r="K11" s="825">
        <v>27904.305041445514</v>
      </c>
      <c r="L11" s="825">
        <v>19575.642982720583</v>
      </c>
      <c r="M11" s="825">
        <v>8328.6620587249308</v>
      </c>
      <c r="N11" s="825">
        <v>110740.03590243249</v>
      </c>
    </row>
    <row r="12" spans="1:14">
      <c r="A12" s="823">
        <v>7</v>
      </c>
      <c r="B12" s="824" t="s">
        <v>990</v>
      </c>
      <c r="C12" s="825">
        <v>15</v>
      </c>
      <c r="D12" s="825">
        <v>247469</v>
      </c>
      <c r="E12" s="825">
        <v>1860.1699836342416</v>
      </c>
      <c r="F12" s="825">
        <v>2878.1649841779999</v>
      </c>
      <c r="G12" s="825">
        <v>-1017.9950005437586</v>
      </c>
      <c r="H12" s="825">
        <v>27027.143937979879</v>
      </c>
      <c r="I12" s="825">
        <v>15</v>
      </c>
      <c r="J12" s="825">
        <v>215558</v>
      </c>
      <c r="K12" s="825">
        <v>1421.5818724424716</v>
      </c>
      <c r="L12" s="825">
        <v>3160.535064299334</v>
      </c>
      <c r="M12" s="825">
        <v>-1738.9531918568621</v>
      </c>
      <c r="N12" s="825">
        <v>25081.639494192343</v>
      </c>
    </row>
    <row r="13" spans="1:14">
      <c r="A13" s="823">
        <v>8</v>
      </c>
      <c r="B13" s="824" t="s">
        <v>991</v>
      </c>
      <c r="C13" s="825">
        <v>12</v>
      </c>
      <c r="D13" s="825">
        <v>105080</v>
      </c>
      <c r="E13" s="825">
        <v>1834.50366237973</v>
      </c>
      <c r="F13" s="825">
        <v>923.09643945199991</v>
      </c>
      <c r="G13" s="825">
        <v>911.40722292773046</v>
      </c>
      <c r="H13" s="825">
        <v>10164.554760066972</v>
      </c>
      <c r="I13" s="825">
        <v>12</v>
      </c>
      <c r="J13" s="825">
        <v>98521</v>
      </c>
      <c r="K13" s="825">
        <v>969.90917690854212</v>
      </c>
      <c r="L13" s="825">
        <v>593.37539294300007</v>
      </c>
      <c r="M13" s="825">
        <v>376.53378396554223</v>
      </c>
      <c r="N13" s="825">
        <v>11253.662749168911</v>
      </c>
    </row>
    <row r="14" spans="1:14">
      <c r="A14" s="823">
        <v>9</v>
      </c>
      <c r="B14" s="824" t="s">
        <v>992</v>
      </c>
      <c r="C14" s="825">
        <v>7</v>
      </c>
      <c r="D14" s="825">
        <v>47417</v>
      </c>
      <c r="E14" s="825">
        <v>788.29377179699998</v>
      </c>
      <c r="F14" s="825">
        <v>322.37005946600004</v>
      </c>
      <c r="G14" s="825">
        <v>465.92371233099988</v>
      </c>
      <c r="H14" s="825">
        <v>9570.0856389227101</v>
      </c>
      <c r="I14" s="825">
        <v>9</v>
      </c>
      <c r="J14" s="825">
        <v>72740</v>
      </c>
      <c r="K14" s="825">
        <v>3797.2312865549998</v>
      </c>
      <c r="L14" s="825">
        <v>684.97343012699992</v>
      </c>
      <c r="M14" s="825">
        <v>3112.2578564279997</v>
      </c>
      <c r="N14" s="825">
        <v>16494.025945003868</v>
      </c>
    </row>
    <row r="15" spans="1:14">
      <c r="A15" s="823">
        <v>10</v>
      </c>
      <c r="B15" s="824" t="s">
        <v>993</v>
      </c>
      <c r="C15" s="825">
        <v>22</v>
      </c>
      <c r="D15" s="825">
        <v>227917</v>
      </c>
      <c r="E15" s="825">
        <v>3245.1869369369233</v>
      </c>
      <c r="F15" s="825">
        <v>3165.1813504759998</v>
      </c>
      <c r="G15" s="825">
        <v>80.005586460922984</v>
      </c>
      <c r="H15" s="825">
        <v>30470.287422671317</v>
      </c>
      <c r="I15" s="825">
        <v>22</v>
      </c>
      <c r="J15" s="825">
        <v>217669</v>
      </c>
      <c r="K15" s="825">
        <v>4538.3573590721526</v>
      </c>
      <c r="L15" s="825">
        <v>3391.7506256910001</v>
      </c>
      <c r="M15" s="825">
        <v>1146.6067333811525</v>
      </c>
      <c r="N15" s="825">
        <v>33964.495142825435</v>
      </c>
    </row>
    <row r="16" spans="1:14">
      <c r="A16" s="823">
        <v>11</v>
      </c>
      <c r="B16" s="824" t="s">
        <v>994</v>
      </c>
      <c r="C16" s="825">
        <v>21</v>
      </c>
      <c r="D16" s="825">
        <v>604977</v>
      </c>
      <c r="E16" s="825">
        <v>19749.604812980189</v>
      </c>
      <c r="F16" s="825">
        <v>18579.33192511852</v>
      </c>
      <c r="G16" s="825">
        <v>1170.2728878616622</v>
      </c>
      <c r="H16" s="825">
        <v>137775.07229674602</v>
      </c>
      <c r="I16" s="825">
        <v>21</v>
      </c>
      <c r="J16" s="825">
        <v>536081</v>
      </c>
      <c r="K16" s="825">
        <v>26199.150280389847</v>
      </c>
      <c r="L16" s="825">
        <v>23060.842408236211</v>
      </c>
      <c r="M16" s="825">
        <v>3138.3078721536413</v>
      </c>
      <c r="N16" s="825">
        <v>156081.35444459101</v>
      </c>
    </row>
    <row r="17" spans="1:14">
      <c r="A17" s="823">
        <v>12</v>
      </c>
      <c r="B17" s="824" t="s">
        <v>995</v>
      </c>
      <c r="C17" s="825">
        <v>14</v>
      </c>
      <c r="D17" s="825">
        <v>227228</v>
      </c>
      <c r="E17" s="825">
        <v>668.23744856463918</v>
      </c>
      <c r="F17" s="825">
        <v>2383.9553721819998</v>
      </c>
      <c r="G17" s="825">
        <v>-1715.7179236173611</v>
      </c>
      <c r="H17" s="825">
        <v>23929.930134168535</v>
      </c>
      <c r="I17" s="825">
        <v>14</v>
      </c>
      <c r="J17" s="825">
        <v>191020</v>
      </c>
      <c r="K17" s="825">
        <v>213.61538207759804</v>
      </c>
      <c r="L17" s="825">
        <v>2524.6856206440002</v>
      </c>
      <c r="M17" s="825">
        <v>-2311.0702385664017</v>
      </c>
      <c r="N17" s="825">
        <v>21600.323673012208</v>
      </c>
    </row>
    <row r="18" spans="1:14">
      <c r="A18" s="823">
        <v>13</v>
      </c>
      <c r="B18" s="824" t="s">
        <v>996</v>
      </c>
      <c r="C18" s="825">
        <v>22</v>
      </c>
      <c r="D18" s="825">
        <v>274697</v>
      </c>
      <c r="E18" s="825">
        <v>4673.2245475154232</v>
      </c>
      <c r="F18" s="825">
        <v>8850.6077761527849</v>
      </c>
      <c r="G18" s="825">
        <v>-4177.3832286373608</v>
      </c>
      <c r="H18" s="825">
        <v>79633.739745628773</v>
      </c>
      <c r="I18" s="825">
        <v>22</v>
      </c>
      <c r="J18" s="825">
        <v>242657</v>
      </c>
      <c r="K18" s="825">
        <v>6539.0871276932512</v>
      </c>
      <c r="L18" s="825">
        <v>11582.999992539331</v>
      </c>
      <c r="M18" s="825">
        <v>-5043.9128648460837</v>
      </c>
      <c r="N18" s="825">
        <v>78118.634963369186</v>
      </c>
    </row>
    <row r="19" spans="1:14">
      <c r="A19" s="823">
        <v>14</v>
      </c>
      <c r="B19" s="824" t="s">
        <v>997</v>
      </c>
      <c r="C19" s="825">
        <v>21</v>
      </c>
      <c r="D19" s="825">
        <v>180961</v>
      </c>
      <c r="E19" s="825">
        <v>3832.7154833038803</v>
      </c>
      <c r="F19" s="825">
        <v>2128.1309957360004</v>
      </c>
      <c r="G19" s="825">
        <v>1704.5844875678808</v>
      </c>
      <c r="H19" s="825">
        <v>23958.706561093528</v>
      </c>
      <c r="I19" s="825">
        <v>21</v>
      </c>
      <c r="J19" s="825">
        <v>196737</v>
      </c>
      <c r="K19" s="825">
        <v>13760.86404739844</v>
      </c>
      <c r="L19" s="825">
        <v>6771.123087087999</v>
      </c>
      <c r="M19" s="825">
        <v>6989.7409603104388</v>
      </c>
      <c r="N19" s="825">
        <v>35550.972764623795</v>
      </c>
    </row>
    <row r="20" spans="1:14">
      <c r="A20" s="823">
        <v>15</v>
      </c>
      <c r="B20" s="824" t="s">
        <v>998</v>
      </c>
      <c r="C20" s="825">
        <v>5</v>
      </c>
      <c r="D20" s="825">
        <v>40773</v>
      </c>
      <c r="E20" s="825">
        <v>937.98954490100004</v>
      </c>
      <c r="F20" s="825">
        <v>826.09197179700004</v>
      </c>
      <c r="G20" s="825">
        <v>111.89757310399999</v>
      </c>
      <c r="H20" s="825">
        <v>4025.861107163822</v>
      </c>
      <c r="I20" s="825">
        <v>5</v>
      </c>
      <c r="J20" s="825">
        <v>36166</v>
      </c>
      <c r="K20" s="825">
        <v>844.74588446500002</v>
      </c>
      <c r="L20" s="825">
        <v>1188.0169876836067</v>
      </c>
      <c r="M20" s="825">
        <v>-343.27110321860658</v>
      </c>
      <c r="N20" s="825">
        <v>4578.4602972262637</v>
      </c>
    </row>
    <row r="21" spans="1:14">
      <c r="A21" s="823">
        <v>16</v>
      </c>
      <c r="B21" s="824" t="s">
        <v>999</v>
      </c>
      <c r="C21" s="825">
        <v>13</v>
      </c>
      <c r="D21" s="825">
        <v>228427</v>
      </c>
      <c r="E21" s="825">
        <v>26803.775064089456</v>
      </c>
      <c r="F21" s="825">
        <v>24002.093512246996</v>
      </c>
      <c r="G21" s="825">
        <v>2801.681551842461</v>
      </c>
      <c r="H21" s="825">
        <v>58909.810950913612</v>
      </c>
      <c r="I21" s="825">
        <v>13</v>
      </c>
      <c r="J21" s="825">
        <v>204910</v>
      </c>
      <c r="K21" s="825">
        <v>9023.5814541035652</v>
      </c>
      <c r="L21" s="825">
        <v>9309.8730068486657</v>
      </c>
      <c r="M21" s="825">
        <v>-286.29155274510464</v>
      </c>
      <c r="N21" s="825">
        <v>53028.88171038052</v>
      </c>
    </row>
    <row r="22" spans="1:14">
      <c r="A22" s="823"/>
      <c r="B22" s="819" t="s">
        <v>1000</v>
      </c>
      <c r="C22" s="820">
        <v>312</v>
      </c>
      <c r="D22" s="820">
        <v>7259960</v>
      </c>
      <c r="E22" s="820">
        <v>5022671.6795602785</v>
      </c>
      <c r="F22" s="820">
        <v>4950115.0377401337</v>
      </c>
      <c r="G22" s="820">
        <v>72556.64182014433</v>
      </c>
      <c r="H22" s="820">
        <v>1305205.2262607885</v>
      </c>
      <c r="I22" s="820">
        <v>316</v>
      </c>
      <c r="J22" s="820">
        <v>7016291</v>
      </c>
      <c r="K22" s="820">
        <v>4756345.5501005361</v>
      </c>
      <c r="L22" s="820">
        <v>4466760.7046209443</v>
      </c>
      <c r="M22" s="820">
        <v>289584.84547959169</v>
      </c>
      <c r="N22" s="820">
        <v>1599650.516347406</v>
      </c>
    </row>
    <row r="23" spans="1:14">
      <c r="A23" s="823"/>
      <c r="B23" s="823"/>
      <c r="C23" s="825"/>
      <c r="D23" s="825"/>
      <c r="E23" s="825"/>
      <c r="F23" s="825"/>
      <c r="G23" s="825"/>
      <c r="H23" s="825"/>
      <c r="I23" s="826"/>
      <c r="J23" s="826"/>
      <c r="K23" s="827"/>
      <c r="L23" s="827"/>
      <c r="M23" s="827"/>
      <c r="N23" s="827"/>
    </row>
    <row r="24" spans="1:14">
      <c r="A24" s="819" t="s">
        <v>1001</v>
      </c>
      <c r="B24" s="819" t="s">
        <v>1002</v>
      </c>
      <c r="C24" s="825"/>
      <c r="D24" s="825"/>
      <c r="E24" s="825"/>
      <c r="F24" s="825"/>
      <c r="G24" s="825"/>
      <c r="H24" s="825"/>
      <c r="I24" s="826"/>
      <c r="J24" s="826"/>
      <c r="K24" s="827"/>
      <c r="L24" s="827"/>
      <c r="M24" s="827"/>
      <c r="N24" s="827"/>
    </row>
    <row r="25" spans="1:14">
      <c r="A25" s="823">
        <v>17</v>
      </c>
      <c r="B25" s="828" t="s">
        <v>1003</v>
      </c>
      <c r="C25" s="825">
        <v>19</v>
      </c>
      <c r="D25" s="825">
        <v>4281290</v>
      </c>
      <c r="E25" s="825">
        <v>5316.09</v>
      </c>
      <c r="F25" s="825">
        <v>4270.59</v>
      </c>
      <c r="G25" s="825">
        <v>1045.49</v>
      </c>
      <c r="H25" s="825">
        <v>78415.3</v>
      </c>
      <c r="I25" s="829">
        <v>26</v>
      </c>
      <c r="J25" s="826">
        <v>7663105</v>
      </c>
      <c r="K25" s="827">
        <v>29633.13723021809</v>
      </c>
      <c r="L25" s="827">
        <v>9996.1301916585435</v>
      </c>
      <c r="M25" s="827">
        <v>19637.00703855955</v>
      </c>
      <c r="N25" s="827">
        <v>173103.01934943185</v>
      </c>
    </row>
    <row r="26" spans="1:14">
      <c r="A26" s="823">
        <v>18</v>
      </c>
      <c r="B26" s="828" t="s">
        <v>1004</v>
      </c>
      <c r="C26" s="825">
        <v>31</v>
      </c>
      <c r="D26" s="825">
        <v>12937115</v>
      </c>
      <c r="E26" s="825">
        <v>9006.39</v>
      </c>
      <c r="F26" s="825">
        <v>12365.66</v>
      </c>
      <c r="G26" s="825">
        <v>-3359.26</v>
      </c>
      <c r="H26" s="825">
        <v>259583.23</v>
      </c>
      <c r="I26" s="829">
        <v>32</v>
      </c>
      <c r="J26" s="826">
        <v>14641638</v>
      </c>
      <c r="K26" s="827">
        <v>29429.588802915285</v>
      </c>
      <c r="L26" s="827">
        <v>24131.470771325628</v>
      </c>
      <c r="M26" s="827">
        <v>5298.1180315896545</v>
      </c>
      <c r="N26" s="827">
        <v>368401.21062111936</v>
      </c>
    </row>
    <row r="27" spans="1:14">
      <c r="A27" s="823">
        <v>19</v>
      </c>
      <c r="B27" s="828" t="s">
        <v>1005</v>
      </c>
      <c r="C27" s="825">
        <v>26</v>
      </c>
      <c r="D27" s="825">
        <v>7986403</v>
      </c>
      <c r="E27" s="825">
        <v>9033.5400000000009</v>
      </c>
      <c r="F27" s="825">
        <v>6014.88</v>
      </c>
      <c r="G27" s="825">
        <v>3018.66</v>
      </c>
      <c r="H27" s="825">
        <v>148217.79999999999</v>
      </c>
      <c r="I27" s="829">
        <v>29</v>
      </c>
      <c r="J27" s="826">
        <v>10316175</v>
      </c>
      <c r="K27" s="827">
        <v>28041.90541866489</v>
      </c>
      <c r="L27" s="827">
        <v>14177.855014464809</v>
      </c>
      <c r="M27" s="827">
        <v>13864.050404200083</v>
      </c>
      <c r="N27" s="827">
        <v>263808.62065481284</v>
      </c>
    </row>
    <row r="28" spans="1:14">
      <c r="A28" s="823">
        <v>20</v>
      </c>
      <c r="B28" s="828" t="s">
        <v>1006</v>
      </c>
      <c r="C28" s="825">
        <v>29</v>
      </c>
      <c r="D28" s="825">
        <v>11049628</v>
      </c>
      <c r="E28" s="825">
        <v>12644.72</v>
      </c>
      <c r="F28" s="825">
        <v>7909.58</v>
      </c>
      <c r="G28" s="825">
        <v>4735.1400000000003</v>
      </c>
      <c r="H28" s="825">
        <v>218145.99</v>
      </c>
      <c r="I28" s="829">
        <v>29</v>
      </c>
      <c r="J28" s="826">
        <v>16702539</v>
      </c>
      <c r="K28" s="827">
        <v>34243.896857813226</v>
      </c>
      <c r="L28" s="827">
        <v>22618.404919610719</v>
      </c>
      <c r="M28" s="827">
        <v>11625.491938202507</v>
      </c>
      <c r="N28" s="827">
        <v>384658.16311625834</v>
      </c>
    </row>
    <row r="29" spans="1:14">
      <c r="A29" s="823">
        <v>21</v>
      </c>
      <c r="B29" s="828" t="s">
        <v>1007</v>
      </c>
      <c r="C29" s="825">
        <v>24</v>
      </c>
      <c r="D29" s="825">
        <v>12267299</v>
      </c>
      <c r="E29" s="825">
        <v>16076.07</v>
      </c>
      <c r="F29" s="825">
        <v>5139.37</v>
      </c>
      <c r="G29" s="825">
        <v>10936.69</v>
      </c>
      <c r="H29" s="825">
        <v>168434.34</v>
      </c>
      <c r="I29" s="829">
        <v>28</v>
      </c>
      <c r="J29" s="826">
        <v>21573827</v>
      </c>
      <c r="K29" s="827">
        <v>33844.993152664283</v>
      </c>
      <c r="L29" s="827">
        <v>21329.62552153358</v>
      </c>
      <c r="M29" s="827">
        <v>12515.367631130701</v>
      </c>
      <c r="N29" s="827">
        <v>319967.57059915643</v>
      </c>
    </row>
    <row r="30" spans="1:14">
      <c r="A30" s="823">
        <v>22</v>
      </c>
      <c r="B30" s="828" t="s">
        <v>1008</v>
      </c>
      <c r="C30" s="825">
        <v>9</v>
      </c>
      <c r="D30" s="825">
        <v>752821</v>
      </c>
      <c r="E30" s="825">
        <v>1394.39</v>
      </c>
      <c r="F30" s="825">
        <v>584.84</v>
      </c>
      <c r="G30" s="825">
        <v>809.55</v>
      </c>
      <c r="H30" s="825">
        <v>16236.99</v>
      </c>
      <c r="I30" s="829">
        <v>9</v>
      </c>
      <c r="J30" s="826">
        <v>1027942</v>
      </c>
      <c r="K30" s="827">
        <v>4429.8183468309999</v>
      </c>
      <c r="L30" s="827">
        <v>1992.4498719906574</v>
      </c>
      <c r="M30" s="827">
        <v>2437.368474840343</v>
      </c>
      <c r="N30" s="827">
        <v>31516.499499824255</v>
      </c>
    </row>
    <row r="31" spans="1:14">
      <c r="A31" s="823">
        <v>23</v>
      </c>
      <c r="B31" s="828" t="s">
        <v>1009</v>
      </c>
      <c r="C31" s="825">
        <v>23</v>
      </c>
      <c r="D31" s="825">
        <v>4936198</v>
      </c>
      <c r="E31" s="825">
        <v>6433.32</v>
      </c>
      <c r="F31" s="825">
        <v>3320.92</v>
      </c>
      <c r="G31" s="825">
        <v>3112.4</v>
      </c>
      <c r="H31" s="825">
        <v>104685.73</v>
      </c>
      <c r="I31" s="829">
        <v>23</v>
      </c>
      <c r="J31" s="826">
        <v>7265493</v>
      </c>
      <c r="K31" s="827">
        <v>19173.317495702398</v>
      </c>
      <c r="L31" s="827">
        <v>9856.3984808727164</v>
      </c>
      <c r="M31" s="827">
        <v>9316.9190148296802</v>
      </c>
      <c r="N31" s="827">
        <v>190473.82023604293</v>
      </c>
    </row>
    <row r="32" spans="1:14">
      <c r="A32" s="823">
        <v>24</v>
      </c>
      <c r="B32" s="828" t="s">
        <v>1010</v>
      </c>
      <c r="C32" s="825">
        <v>27</v>
      </c>
      <c r="D32" s="825">
        <v>5232806</v>
      </c>
      <c r="E32" s="825">
        <v>4795.54</v>
      </c>
      <c r="F32" s="825">
        <v>6888.55</v>
      </c>
      <c r="G32" s="825">
        <v>-2093.0100000000002</v>
      </c>
      <c r="H32" s="825">
        <v>109698.37</v>
      </c>
      <c r="I32" s="829">
        <v>28</v>
      </c>
      <c r="J32" s="826">
        <v>5080648</v>
      </c>
      <c r="K32" s="827">
        <v>10882.447068933221</v>
      </c>
      <c r="L32" s="827">
        <v>12507.421905916577</v>
      </c>
      <c r="M32" s="827">
        <v>-1624.9748369833583</v>
      </c>
      <c r="N32" s="827">
        <v>150439.50686132483</v>
      </c>
    </row>
    <row r="33" spans="1:14">
      <c r="A33" s="823">
        <v>25</v>
      </c>
      <c r="B33" s="828" t="s">
        <v>1011</v>
      </c>
      <c r="C33" s="825">
        <v>130</v>
      </c>
      <c r="D33" s="825">
        <v>13344178</v>
      </c>
      <c r="E33" s="825">
        <v>13411.02</v>
      </c>
      <c r="F33" s="825">
        <v>12506.16</v>
      </c>
      <c r="G33" s="825">
        <v>904.86</v>
      </c>
      <c r="H33" s="825">
        <v>196178.06</v>
      </c>
      <c r="I33" s="829">
        <v>179</v>
      </c>
      <c r="J33" s="826">
        <v>26368314</v>
      </c>
      <c r="K33" s="827">
        <v>121357.77860517216</v>
      </c>
      <c r="L33" s="827">
        <v>38123.072533467981</v>
      </c>
      <c r="M33" s="827">
        <v>83234.706071704175</v>
      </c>
      <c r="N33" s="827">
        <v>444943.89186374896</v>
      </c>
    </row>
    <row r="34" spans="1:14">
      <c r="A34" s="823">
        <v>26</v>
      </c>
      <c r="B34" s="828" t="s">
        <v>1012</v>
      </c>
      <c r="C34" s="825">
        <v>43</v>
      </c>
      <c r="D34" s="825">
        <v>15301801</v>
      </c>
      <c r="E34" s="825">
        <v>4541.6899999999996</v>
      </c>
      <c r="F34" s="825">
        <v>5459.99</v>
      </c>
      <c r="G34" s="825">
        <v>-918.31</v>
      </c>
      <c r="H34" s="825">
        <v>171034.5</v>
      </c>
      <c r="I34" s="829">
        <v>42</v>
      </c>
      <c r="J34" s="826">
        <v>16549630</v>
      </c>
      <c r="K34" s="827">
        <v>10189.392421387052</v>
      </c>
      <c r="L34" s="827">
        <v>11871.46731309357</v>
      </c>
      <c r="M34" s="827">
        <v>-1682.0748917065107</v>
      </c>
      <c r="N34" s="827">
        <v>252388.80161243462</v>
      </c>
    </row>
    <row r="35" spans="1:14">
      <c r="A35" s="823">
        <v>27</v>
      </c>
      <c r="B35" s="828" t="s">
        <v>1013</v>
      </c>
      <c r="C35" s="825">
        <v>36</v>
      </c>
      <c r="D35" s="825">
        <v>12784279</v>
      </c>
      <c r="E35" s="825">
        <v>11599.9</v>
      </c>
      <c r="F35" s="825">
        <v>11434.04</v>
      </c>
      <c r="G35" s="825">
        <v>165.86</v>
      </c>
      <c r="H35" s="825">
        <v>272743.18</v>
      </c>
      <c r="I35" s="829">
        <v>39</v>
      </c>
      <c r="J35" s="826">
        <v>15685939</v>
      </c>
      <c r="K35" s="827">
        <v>40257.499616062654</v>
      </c>
      <c r="L35" s="827">
        <v>25304.58894838264</v>
      </c>
      <c r="M35" s="827">
        <v>14952.910667680024</v>
      </c>
      <c r="N35" s="827">
        <v>429311.51308533375</v>
      </c>
    </row>
    <row r="36" spans="1:14">
      <c r="A36" s="823"/>
      <c r="B36" s="819" t="s">
        <v>1014</v>
      </c>
      <c r="C36" s="820">
        <v>397</v>
      </c>
      <c r="D36" s="820">
        <v>100873818</v>
      </c>
      <c r="E36" s="820">
        <v>94252.68</v>
      </c>
      <c r="F36" s="820">
        <v>75894.570000000007</v>
      </c>
      <c r="G36" s="820">
        <v>18358.080000000002</v>
      </c>
      <c r="H36" s="820">
        <v>1743373.48</v>
      </c>
      <c r="I36" s="830">
        <v>464</v>
      </c>
      <c r="J36" s="831">
        <v>142875250</v>
      </c>
      <c r="K36" s="832">
        <v>361483.77501636429</v>
      </c>
      <c r="L36" s="832">
        <v>191908.88547231743</v>
      </c>
      <c r="M36" s="832">
        <v>169574.88954404683</v>
      </c>
      <c r="N36" s="832">
        <v>3009012.6174994879</v>
      </c>
    </row>
    <row r="37" spans="1:14">
      <c r="A37" s="823"/>
      <c r="B37" s="823"/>
      <c r="C37" s="825"/>
      <c r="D37" s="825"/>
      <c r="E37" s="825"/>
      <c r="F37" s="825"/>
      <c r="G37" s="825"/>
      <c r="H37" s="825"/>
      <c r="I37" s="826"/>
      <c r="J37" s="826"/>
      <c r="K37" s="827"/>
      <c r="L37" s="827"/>
      <c r="M37" s="827"/>
      <c r="N37" s="827"/>
    </row>
    <row r="38" spans="1:14">
      <c r="A38" s="819" t="s">
        <v>1015</v>
      </c>
      <c r="B38" s="819" t="s">
        <v>1016</v>
      </c>
      <c r="C38" s="825"/>
      <c r="D38" s="825"/>
      <c r="E38" s="825"/>
      <c r="F38" s="825"/>
      <c r="G38" s="825"/>
      <c r="H38" s="825"/>
      <c r="I38" s="826"/>
      <c r="J38" s="826"/>
      <c r="K38" s="827"/>
      <c r="L38" s="827"/>
      <c r="M38" s="827"/>
      <c r="N38" s="827"/>
    </row>
    <row r="39" spans="1:14">
      <c r="A39" s="823">
        <v>28</v>
      </c>
      <c r="B39" s="828" t="s">
        <v>1017</v>
      </c>
      <c r="C39" s="825">
        <v>20</v>
      </c>
      <c r="D39" s="825">
        <v>519553</v>
      </c>
      <c r="E39" s="825">
        <v>1094.69</v>
      </c>
      <c r="F39" s="825">
        <v>1165.98</v>
      </c>
      <c r="G39" s="825">
        <v>-71.290000000000006</v>
      </c>
      <c r="H39" s="825">
        <v>24158.37</v>
      </c>
      <c r="I39" s="829">
        <v>19</v>
      </c>
      <c r="J39" s="826">
        <v>547626</v>
      </c>
      <c r="K39" s="827">
        <v>2287.3530600291601</v>
      </c>
      <c r="L39" s="827">
        <v>2686.1842883007598</v>
      </c>
      <c r="M39" s="827">
        <v>-398.831228271599</v>
      </c>
      <c r="N39" s="827">
        <v>28385.733931872572</v>
      </c>
    </row>
    <row r="40" spans="1:14">
      <c r="A40" s="823">
        <v>29</v>
      </c>
      <c r="B40" s="828" t="s">
        <v>1018</v>
      </c>
      <c r="C40" s="825">
        <v>31</v>
      </c>
      <c r="D40" s="825">
        <v>5291966</v>
      </c>
      <c r="E40" s="825">
        <v>5628.26</v>
      </c>
      <c r="F40" s="825">
        <v>7445.59</v>
      </c>
      <c r="G40" s="825">
        <v>-1817.33</v>
      </c>
      <c r="H40" s="825">
        <v>166686.76</v>
      </c>
      <c r="I40" s="829">
        <v>31</v>
      </c>
      <c r="J40" s="826">
        <v>5554971</v>
      </c>
      <c r="K40" s="827">
        <v>14430.079988208898</v>
      </c>
      <c r="L40" s="827">
        <v>13804.888095211725</v>
      </c>
      <c r="M40" s="827">
        <v>625.19189299717357</v>
      </c>
      <c r="N40" s="827">
        <v>224779.12989984639</v>
      </c>
    </row>
    <row r="41" spans="1:14">
      <c r="A41" s="823">
        <v>30</v>
      </c>
      <c r="B41" s="828" t="s">
        <v>1019</v>
      </c>
      <c r="C41" s="825">
        <v>29</v>
      </c>
      <c r="D41" s="825">
        <v>4430919</v>
      </c>
      <c r="E41" s="825">
        <v>9637.68</v>
      </c>
      <c r="F41" s="825">
        <v>10680.04</v>
      </c>
      <c r="G41" s="825">
        <v>-1042.3599999999999</v>
      </c>
      <c r="H41" s="825">
        <v>204997.12</v>
      </c>
      <c r="I41" s="829">
        <v>34</v>
      </c>
      <c r="J41" s="826">
        <v>4871024</v>
      </c>
      <c r="K41" s="827">
        <v>28613.523430121477</v>
      </c>
      <c r="L41" s="827">
        <v>20333.007009420813</v>
      </c>
      <c r="M41" s="827">
        <v>8280.5164207006601</v>
      </c>
      <c r="N41" s="827">
        <v>285526.1843269564</v>
      </c>
    </row>
    <row r="42" spans="1:14">
      <c r="A42" s="823">
        <v>31</v>
      </c>
      <c r="B42" s="828" t="s">
        <v>1020</v>
      </c>
      <c r="C42" s="825">
        <v>13</v>
      </c>
      <c r="D42" s="825">
        <v>1139849</v>
      </c>
      <c r="E42" s="825">
        <v>3726.78</v>
      </c>
      <c r="F42" s="825">
        <v>1220.27</v>
      </c>
      <c r="G42" s="825">
        <v>2506.52</v>
      </c>
      <c r="H42" s="825">
        <v>31148.94</v>
      </c>
      <c r="I42" s="829">
        <v>24</v>
      </c>
      <c r="J42" s="826">
        <v>2494704</v>
      </c>
      <c r="K42" s="827">
        <v>21048.77560648906</v>
      </c>
      <c r="L42" s="827">
        <v>5170.0766321244801</v>
      </c>
      <c r="M42" s="827">
        <v>15878.698974364585</v>
      </c>
      <c r="N42" s="827">
        <v>92675.594257976627</v>
      </c>
    </row>
    <row r="43" spans="1:14">
      <c r="A43" s="823">
        <v>32</v>
      </c>
      <c r="B43" s="828" t="s">
        <v>1021</v>
      </c>
      <c r="C43" s="825">
        <v>26</v>
      </c>
      <c r="D43" s="825">
        <v>435281</v>
      </c>
      <c r="E43" s="825">
        <v>29686.63</v>
      </c>
      <c r="F43" s="825">
        <v>15965.01</v>
      </c>
      <c r="G43" s="825">
        <v>13721.62</v>
      </c>
      <c r="H43" s="825">
        <v>80625.37</v>
      </c>
      <c r="I43" s="829">
        <v>27</v>
      </c>
      <c r="J43" s="826">
        <v>541196</v>
      </c>
      <c r="K43" s="827">
        <v>132239.68574111603</v>
      </c>
      <c r="L43" s="827">
        <v>88356.853843563455</v>
      </c>
      <c r="M43" s="827">
        <v>43882.831897552584</v>
      </c>
      <c r="N43" s="827">
        <v>192708.72262657536</v>
      </c>
    </row>
    <row r="44" spans="1:14">
      <c r="A44" s="823">
        <v>33</v>
      </c>
      <c r="B44" s="828" t="s">
        <v>1022</v>
      </c>
      <c r="C44" s="825">
        <v>22</v>
      </c>
      <c r="D44" s="825">
        <v>362326</v>
      </c>
      <c r="E44" s="825">
        <v>2495.87</v>
      </c>
      <c r="F44" s="825">
        <v>1771.98</v>
      </c>
      <c r="G44" s="825">
        <v>723.89</v>
      </c>
      <c r="H44" s="825">
        <v>17888.919999999998</v>
      </c>
      <c r="I44" s="829">
        <v>22</v>
      </c>
      <c r="J44" s="826">
        <v>439021</v>
      </c>
      <c r="K44" s="827">
        <v>13345.759269281029</v>
      </c>
      <c r="L44" s="827">
        <v>7464.4244136423977</v>
      </c>
      <c r="M44" s="827">
        <v>5881.3348556386291</v>
      </c>
      <c r="N44" s="827">
        <v>36990.339326028407</v>
      </c>
    </row>
    <row r="45" spans="1:14">
      <c r="A45" s="823"/>
      <c r="B45" s="819" t="s">
        <v>1023</v>
      </c>
      <c r="C45" s="820">
        <v>141</v>
      </c>
      <c r="D45" s="820">
        <v>12179894</v>
      </c>
      <c r="E45" s="820">
        <v>52269.91</v>
      </c>
      <c r="F45" s="820">
        <v>38248.870000000003</v>
      </c>
      <c r="G45" s="820">
        <v>14021.04</v>
      </c>
      <c r="H45" s="820">
        <v>525505.48</v>
      </c>
      <c r="I45" s="830">
        <v>157</v>
      </c>
      <c r="J45" s="830">
        <v>14448542</v>
      </c>
      <c r="K45" s="832">
        <v>211965.17709524566</v>
      </c>
      <c r="L45" s="832">
        <v>137815.43428226365</v>
      </c>
      <c r="M45" s="832">
        <v>74149.742812982033</v>
      </c>
      <c r="N45" s="832">
        <v>861065.70436925581</v>
      </c>
    </row>
    <row r="46" spans="1:14">
      <c r="A46" s="823"/>
      <c r="B46" s="823"/>
      <c r="C46" s="825"/>
      <c r="D46" s="825"/>
      <c r="E46" s="825"/>
      <c r="F46" s="825"/>
      <c r="G46" s="825"/>
      <c r="H46" s="825"/>
      <c r="I46" s="826"/>
      <c r="J46" s="826"/>
      <c r="K46" s="827"/>
      <c r="L46" s="827"/>
      <c r="M46" s="827"/>
      <c r="N46" s="827"/>
    </row>
    <row r="47" spans="1:14">
      <c r="A47" s="819" t="s">
        <v>1024</v>
      </c>
      <c r="B47" s="819" t="s">
        <v>1025</v>
      </c>
      <c r="C47" s="825"/>
      <c r="D47" s="825"/>
      <c r="E47" s="825"/>
      <c r="F47" s="825"/>
      <c r="G47" s="825"/>
      <c r="H47" s="825"/>
      <c r="I47" s="826"/>
      <c r="J47" s="826"/>
      <c r="K47" s="827"/>
      <c r="L47" s="827"/>
      <c r="M47" s="827"/>
      <c r="N47" s="827"/>
    </row>
    <row r="48" spans="1:14">
      <c r="A48" s="823">
        <v>34</v>
      </c>
      <c r="B48" s="828" t="s">
        <v>1026</v>
      </c>
      <c r="C48" s="825">
        <v>26</v>
      </c>
      <c r="D48" s="825">
        <v>2774489</v>
      </c>
      <c r="E48" s="825">
        <v>701.19</v>
      </c>
      <c r="F48" s="825">
        <v>435.96</v>
      </c>
      <c r="G48" s="825">
        <v>265.23</v>
      </c>
      <c r="H48" s="825">
        <v>20199.11</v>
      </c>
      <c r="I48" s="829">
        <v>29</v>
      </c>
      <c r="J48" s="826">
        <v>2947052</v>
      </c>
      <c r="K48" s="827">
        <v>1989.2268445060004</v>
      </c>
      <c r="L48" s="827">
        <v>1009.3989588353487</v>
      </c>
      <c r="M48" s="827">
        <v>979.82788567065154</v>
      </c>
      <c r="N48" s="827">
        <v>30394.833085392398</v>
      </c>
    </row>
    <row r="49" spans="1:14">
      <c r="A49" s="823">
        <v>35</v>
      </c>
      <c r="B49" s="828" t="s">
        <v>1027</v>
      </c>
      <c r="C49" s="825">
        <v>10</v>
      </c>
      <c r="D49" s="825">
        <v>2933164</v>
      </c>
      <c r="E49" s="825">
        <v>336.48</v>
      </c>
      <c r="F49" s="825">
        <v>182.65</v>
      </c>
      <c r="G49" s="825">
        <v>153.83000000000001</v>
      </c>
      <c r="H49" s="825">
        <v>15887.98</v>
      </c>
      <c r="I49" s="829">
        <v>11</v>
      </c>
      <c r="J49" s="826">
        <v>3008909</v>
      </c>
      <c r="K49" s="827">
        <v>800.44004173000008</v>
      </c>
      <c r="L49" s="827">
        <v>429.75729516396586</v>
      </c>
      <c r="M49" s="827">
        <v>370.6827465660341</v>
      </c>
      <c r="N49" s="827">
        <v>22390.136457592962</v>
      </c>
    </row>
    <row r="50" spans="1:14">
      <c r="A50" s="823"/>
      <c r="B50" s="819" t="s">
        <v>1028</v>
      </c>
      <c r="C50" s="820">
        <v>36</v>
      </c>
      <c r="D50" s="820">
        <v>5707653</v>
      </c>
      <c r="E50" s="820">
        <v>1037.67</v>
      </c>
      <c r="F50" s="820">
        <v>618.62</v>
      </c>
      <c r="G50" s="820">
        <v>419.06</v>
      </c>
      <c r="H50" s="820">
        <v>36087.08</v>
      </c>
      <c r="I50" s="830">
        <v>40</v>
      </c>
      <c r="J50" s="830">
        <v>5955961</v>
      </c>
      <c r="K50" s="832">
        <v>2789.6668862360002</v>
      </c>
      <c r="L50" s="832">
        <v>1439.1562539993147</v>
      </c>
      <c r="M50" s="832">
        <v>1350.5106322366855</v>
      </c>
      <c r="N50" s="832">
        <v>52784.96954298536</v>
      </c>
    </row>
    <row r="51" spans="1:14">
      <c r="A51" s="823"/>
      <c r="B51" s="823"/>
      <c r="C51" s="825"/>
      <c r="D51" s="825"/>
      <c r="E51" s="825"/>
      <c r="F51" s="825"/>
      <c r="G51" s="825"/>
      <c r="H51" s="825"/>
      <c r="I51" s="826"/>
      <c r="J51" s="826"/>
      <c r="K51" s="827"/>
      <c r="L51" s="827"/>
      <c r="M51" s="827"/>
      <c r="N51" s="827"/>
    </row>
    <row r="52" spans="1:14">
      <c r="A52" s="819" t="s">
        <v>1029</v>
      </c>
      <c r="B52" s="819" t="s">
        <v>1030</v>
      </c>
      <c r="C52" s="825"/>
      <c r="D52" s="825"/>
      <c r="E52" s="825"/>
      <c r="F52" s="825"/>
      <c r="G52" s="825"/>
      <c r="H52" s="825"/>
      <c r="I52" s="826"/>
      <c r="J52" s="826"/>
      <c r="K52" s="827"/>
      <c r="L52" s="827"/>
      <c r="M52" s="827"/>
      <c r="N52" s="827"/>
    </row>
    <row r="53" spans="1:14">
      <c r="A53" s="823">
        <v>36</v>
      </c>
      <c r="B53" s="824" t="s">
        <v>1031</v>
      </c>
      <c r="C53" s="825">
        <v>185</v>
      </c>
      <c r="D53" s="825">
        <v>4495761</v>
      </c>
      <c r="E53" s="825">
        <v>9475.4699999999993</v>
      </c>
      <c r="F53" s="825">
        <v>10125.17</v>
      </c>
      <c r="G53" s="825">
        <v>-649.69000000000005</v>
      </c>
      <c r="H53" s="825">
        <v>175468.04</v>
      </c>
      <c r="I53" s="829">
        <v>230</v>
      </c>
      <c r="J53" s="826">
        <v>10343195</v>
      </c>
      <c r="K53" s="827">
        <v>48252.150286504053</v>
      </c>
      <c r="L53" s="827">
        <v>20898.987981682407</v>
      </c>
      <c r="M53" s="827">
        <v>27353.162304821646</v>
      </c>
      <c r="N53" s="827">
        <v>263774.10623920406</v>
      </c>
    </row>
    <row r="54" spans="1:14">
      <c r="A54" s="823">
        <v>37</v>
      </c>
      <c r="B54" s="824" t="s">
        <v>1032</v>
      </c>
      <c r="C54" s="825">
        <v>13</v>
      </c>
      <c r="D54" s="825">
        <v>4752363</v>
      </c>
      <c r="E54" s="825">
        <v>605.99</v>
      </c>
      <c r="F54" s="825">
        <v>308.01</v>
      </c>
      <c r="G54" s="825">
        <v>297.97000000000003</v>
      </c>
      <c r="H54" s="825">
        <v>22339.39</v>
      </c>
      <c r="I54" s="829">
        <v>17</v>
      </c>
      <c r="J54" s="826">
        <v>5660198</v>
      </c>
      <c r="K54" s="827">
        <v>5887.4339313949995</v>
      </c>
      <c r="L54" s="827">
        <v>1780.7889686030001</v>
      </c>
      <c r="M54" s="827">
        <v>4106.644962792001</v>
      </c>
      <c r="N54" s="827">
        <v>37390.034446823352</v>
      </c>
    </row>
    <row r="55" spans="1:14">
      <c r="A55" s="823">
        <v>38</v>
      </c>
      <c r="B55" s="824" t="s">
        <v>1033</v>
      </c>
      <c r="C55" s="825">
        <v>161</v>
      </c>
      <c r="D55" s="825">
        <v>12124531</v>
      </c>
      <c r="E55" s="825">
        <v>28829.61</v>
      </c>
      <c r="F55" s="825">
        <v>14113.07</v>
      </c>
      <c r="G55" s="825">
        <v>14716.54</v>
      </c>
      <c r="H55" s="825">
        <v>538872.99</v>
      </c>
      <c r="I55" s="829">
        <v>206</v>
      </c>
      <c r="J55" s="826">
        <v>16272528</v>
      </c>
      <c r="K55" s="827">
        <v>87149.585193359992</v>
      </c>
      <c r="L55" s="827">
        <v>45698.019053230026</v>
      </c>
      <c r="M55" s="827">
        <v>41451.566140129988</v>
      </c>
      <c r="N55" s="827">
        <v>794345.22439798992</v>
      </c>
    </row>
    <row r="56" spans="1:14">
      <c r="A56" s="823">
        <v>39</v>
      </c>
      <c r="B56" s="824" t="s">
        <v>1034</v>
      </c>
      <c r="C56" s="825">
        <v>50</v>
      </c>
      <c r="D56" s="825">
        <v>1348079</v>
      </c>
      <c r="E56" s="825">
        <v>781.08</v>
      </c>
      <c r="F56" s="825">
        <v>1656.37</v>
      </c>
      <c r="G56" s="825">
        <v>-875.29</v>
      </c>
      <c r="H56" s="825">
        <v>23869.39</v>
      </c>
      <c r="I56" s="829">
        <v>55</v>
      </c>
      <c r="J56" s="826">
        <v>1406740</v>
      </c>
      <c r="K56" s="827">
        <v>1197.2147140890002</v>
      </c>
      <c r="L56" s="827">
        <v>2969.3851284162179</v>
      </c>
      <c r="M56" s="827">
        <v>-1772.1704143272179</v>
      </c>
      <c r="N56" s="827">
        <v>25385.981018829891</v>
      </c>
    </row>
    <row r="57" spans="1:14">
      <c r="A57" s="823"/>
      <c r="B57" s="819" t="s">
        <v>1035</v>
      </c>
      <c r="C57" s="820">
        <v>409</v>
      </c>
      <c r="D57" s="820">
        <v>22720734</v>
      </c>
      <c r="E57" s="820">
        <v>39692.15</v>
      </c>
      <c r="F57" s="820">
        <v>26202.62</v>
      </c>
      <c r="G57" s="820">
        <v>13489.53</v>
      </c>
      <c r="H57" s="820">
        <v>760549.8</v>
      </c>
      <c r="I57" s="830">
        <v>508</v>
      </c>
      <c r="J57" s="830">
        <v>33682661</v>
      </c>
      <c r="K57" s="832">
        <v>142486.38412534804</v>
      </c>
      <c r="L57" s="832">
        <v>71347.181131931648</v>
      </c>
      <c r="M57" s="832">
        <v>71139.202993416417</v>
      </c>
      <c r="N57" s="832">
        <v>1120895.3461028473</v>
      </c>
    </row>
    <row r="58" spans="1:14">
      <c r="A58" s="823"/>
      <c r="B58" s="823"/>
      <c r="C58" s="825"/>
      <c r="D58" s="825"/>
      <c r="E58" s="825"/>
      <c r="F58" s="825"/>
      <c r="G58" s="825"/>
      <c r="H58" s="825"/>
      <c r="I58" s="826"/>
      <c r="J58" s="826"/>
      <c r="K58" s="827"/>
      <c r="L58" s="827"/>
      <c r="M58" s="827"/>
      <c r="N58" s="827"/>
    </row>
    <row r="59" spans="1:14">
      <c r="A59" s="823"/>
      <c r="B59" s="819" t="s">
        <v>1036</v>
      </c>
      <c r="C59" s="820">
        <v>1299</v>
      </c>
      <c r="D59" s="820">
        <v>148689499</v>
      </c>
      <c r="E59" s="820">
        <v>2630139.44</v>
      </c>
      <c r="F59" s="820">
        <v>2445350.7799999998</v>
      </c>
      <c r="G59" s="820">
        <v>184788.63</v>
      </c>
      <c r="H59" s="820">
        <v>4412998.4400000004</v>
      </c>
      <c r="I59" s="830">
        <v>1485</v>
      </c>
      <c r="J59" s="831">
        <v>203978705</v>
      </c>
      <c r="K59" s="832">
        <v>5475070.5532237301</v>
      </c>
      <c r="L59" s="832">
        <v>4869271.3617614564</v>
      </c>
      <c r="M59" s="832">
        <v>605799.19146227371</v>
      </c>
      <c r="N59" s="832">
        <v>6643409.1538619827</v>
      </c>
    </row>
    <row r="60" spans="1:14">
      <c r="A60" s="823"/>
      <c r="B60" s="823"/>
      <c r="C60" s="825"/>
      <c r="D60" s="825"/>
      <c r="E60" s="825"/>
      <c r="F60" s="825"/>
      <c r="G60" s="825"/>
      <c r="H60" s="825"/>
      <c r="I60" s="826"/>
      <c r="J60" s="826"/>
      <c r="K60" s="827"/>
      <c r="L60" s="827"/>
      <c r="M60" s="827"/>
      <c r="N60" s="827"/>
    </row>
    <row r="61" spans="1:14" s="814" customFormat="1">
      <c r="A61" s="818" t="s">
        <v>1037</v>
      </c>
      <c r="B61" s="819" t="s">
        <v>1038</v>
      </c>
      <c r="C61" s="825"/>
      <c r="D61" s="825"/>
      <c r="E61" s="825"/>
      <c r="F61" s="825"/>
      <c r="G61" s="825"/>
      <c r="H61" s="825"/>
      <c r="I61" s="826"/>
      <c r="J61" s="826"/>
      <c r="K61" s="827"/>
      <c r="L61" s="827"/>
      <c r="M61" s="827"/>
      <c r="N61" s="827"/>
    </row>
    <row r="62" spans="1:14">
      <c r="A62" s="823" t="s">
        <v>982</v>
      </c>
      <c r="B62" s="824" t="s">
        <v>983</v>
      </c>
      <c r="C62" s="825"/>
      <c r="D62" s="825"/>
      <c r="E62" s="825"/>
      <c r="F62" s="825"/>
      <c r="G62" s="825"/>
      <c r="H62" s="825"/>
      <c r="I62" s="826"/>
      <c r="J62" s="826"/>
      <c r="K62" s="827"/>
      <c r="L62" s="827"/>
      <c r="M62" s="827"/>
      <c r="N62" s="827"/>
    </row>
    <row r="63" spans="1:14">
      <c r="A63" s="823" t="s">
        <v>1039</v>
      </c>
      <c r="B63" s="824" t="s">
        <v>1040</v>
      </c>
      <c r="C63" s="825">
        <v>92</v>
      </c>
      <c r="D63" s="825">
        <v>134471</v>
      </c>
      <c r="E63" s="825">
        <v>102.64</v>
      </c>
      <c r="F63" s="825">
        <v>4850.99</v>
      </c>
      <c r="G63" s="825">
        <v>-4748.3500000000004</v>
      </c>
      <c r="H63" s="825">
        <v>19564.330000000002</v>
      </c>
      <c r="I63" s="829">
        <v>79</v>
      </c>
      <c r="J63" s="826">
        <v>67817</v>
      </c>
      <c r="K63" s="827">
        <v>0</v>
      </c>
      <c r="L63" s="827">
        <v>1087.9926700419999</v>
      </c>
      <c r="M63" s="827">
        <v>-1087.9926700419999</v>
      </c>
      <c r="N63" s="827">
        <v>15406.840265433802</v>
      </c>
    </row>
    <row r="64" spans="1:14">
      <c r="A64" s="823" t="s">
        <v>1041</v>
      </c>
      <c r="B64" s="824" t="s">
        <v>1042</v>
      </c>
      <c r="C64" s="825">
        <v>3</v>
      </c>
      <c r="D64" s="825">
        <v>2883</v>
      </c>
      <c r="E64" s="825">
        <v>0</v>
      </c>
      <c r="F64" s="825">
        <v>533.65</v>
      </c>
      <c r="G64" s="825">
        <v>-533.65</v>
      </c>
      <c r="H64" s="825">
        <v>119.12</v>
      </c>
      <c r="I64" s="829">
        <v>0</v>
      </c>
      <c r="J64" s="826">
        <v>0</v>
      </c>
      <c r="K64" s="827">
        <v>0</v>
      </c>
      <c r="L64" s="827">
        <v>0</v>
      </c>
      <c r="M64" s="827">
        <v>0</v>
      </c>
      <c r="N64" s="827">
        <v>0</v>
      </c>
    </row>
    <row r="65" spans="1:14">
      <c r="A65" s="823" t="s">
        <v>1043</v>
      </c>
      <c r="B65" s="824" t="s">
        <v>1044</v>
      </c>
      <c r="C65" s="825">
        <v>7</v>
      </c>
      <c r="D65" s="825">
        <v>52</v>
      </c>
      <c r="E65" s="825">
        <v>0</v>
      </c>
      <c r="F65" s="825">
        <v>0</v>
      </c>
      <c r="G65" s="825">
        <v>0</v>
      </c>
      <c r="H65" s="825">
        <v>2055.17</v>
      </c>
      <c r="I65" s="829">
        <v>4</v>
      </c>
      <c r="J65" s="826">
        <v>30</v>
      </c>
      <c r="K65" s="827">
        <v>0</v>
      </c>
      <c r="L65" s="827">
        <v>606.48123177704792</v>
      </c>
      <c r="M65" s="827">
        <v>-606.48123177704804</v>
      </c>
      <c r="N65" s="827">
        <v>1066.8007659903001</v>
      </c>
    </row>
    <row r="66" spans="1:14">
      <c r="A66" s="823" t="s">
        <v>1045</v>
      </c>
      <c r="B66" s="824" t="s">
        <v>1046</v>
      </c>
      <c r="C66" s="825">
        <v>0</v>
      </c>
      <c r="D66" s="825">
        <v>0</v>
      </c>
      <c r="E66" s="825">
        <v>0</v>
      </c>
      <c r="F66" s="825">
        <v>0</v>
      </c>
      <c r="G66" s="825">
        <v>0</v>
      </c>
      <c r="H66" s="825">
        <v>0</v>
      </c>
      <c r="I66" s="829">
        <v>1</v>
      </c>
      <c r="J66" s="826">
        <v>201642</v>
      </c>
      <c r="K66" s="827">
        <v>96.65</v>
      </c>
      <c r="L66" s="827">
        <v>371.34</v>
      </c>
      <c r="M66" s="827">
        <v>-274.68999999999994</v>
      </c>
      <c r="N66" s="827">
        <v>5536.6</v>
      </c>
    </row>
    <row r="67" spans="1:14">
      <c r="A67" s="823"/>
      <c r="B67" s="819" t="s">
        <v>1047</v>
      </c>
      <c r="C67" s="820">
        <v>102</v>
      </c>
      <c r="D67" s="820">
        <v>137406</v>
      </c>
      <c r="E67" s="820">
        <v>102.64</v>
      </c>
      <c r="F67" s="820">
        <v>5384.64</v>
      </c>
      <c r="G67" s="820">
        <v>-5282</v>
      </c>
      <c r="H67" s="820">
        <v>21738.61</v>
      </c>
      <c r="I67" s="830">
        <v>84</v>
      </c>
      <c r="J67" s="830">
        <v>269489</v>
      </c>
      <c r="K67" s="832">
        <v>96.65</v>
      </c>
      <c r="L67" s="832">
        <v>2065.8139018190477</v>
      </c>
      <c r="M67" s="832">
        <v>-1969.1639018190481</v>
      </c>
      <c r="N67" s="832">
        <v>22010.241031424106</v>
      </c>
    </row>
    <row r="68" spans="1:14">
      <c r="A68" s="823"/>
      <c r="B68" s="823"/>
      <c r="C68" s="825"/>
      <c r="D68" s="825"/>
      <c r="E68" s="825"/>
      <c r="F68" s="825"/>
      <c r="G68" s="825"/>
      <c r="H68" s="825"/>
      <c r="I68" s="826"/>
      <c r="J68" s="826"/>
      <c r="K68" s="827"/>
      <c r="L68" s="827"/>
      <c r="M68" s="827"/>
      <c r="N68" s="827"/>
    </row>
    <row r="69" spans="1:14">
      <c r="A69" s="823" t="s">
        <v>1001</v>
      </c>
      <c r="B69" s="824" t="s">
        <v>1002</v>
      </c>
      <c r="C69" s="825"/>
      <c r="D69" s="825"/>
      <c r="E69" s="825"/>
      <c r="F69" s="825"/>
      <c r="G69" s="825"/>
      <c r="H69" s="825"/>
      <c r="I69" s="826"/>
      <c r="J69" s="826"/>
      <c r="K69" s="827"/>
      <c r="L69" s="827"/>
      <c r="M69" s="827"/>
      <c r="N69" s="827"/>
    </row>
    <row r="70" spans="1:14">
      <c r="A70" s="823" t="s">
        <v>1039</v>
      </c>
      <c r="B70" s="824" t="s">
        <v>1012</v>
      </c>
      <c r="C70" s="825">
        <v>19</v>
      </c>
      <c r="D70" s="825">
        <v>292193</v>
      </c>
      <c r="E70" s="825">
        <v>0</v>
      </c>
      <c r="F70" s="825">
        <v>93.94</v>
      </c>
      <c r="G70" s="825">
        <v>-93.94</v>
      </c>
      <c r="H70" s="825">
        <v>3723.64</v>
      </c>
      <c r="I70" s="829">
        <v>18</v>
      </c>
      <c r="J70" s="826">
        <v>271093</v>
      </c>
      <c r="K70" s="827">
        <v>0</v>
      </c>
      <c r="L70" s="827">
        <v>147.89272775442271</v>
      </c>
      <c r="M70" s="827">
        <v>-147.89272775442271</v>
      </c>
      <c r="N70" s="827">
        <v>4731.218209790436</v>
      </c>
    </row>
    <row r="71" spans="1:14">
      <c r="A71" s="823" t="s">
        <v>1041</v>
      </c>
      <c r="B71" s="824" t="s">
        <v>300</v>
      </c>
      <c r="C71" s="825">
        <v>5</v>
      </c>
      <c r="D71" s="825">
        <v>9876</v>
      </c>
      <c r="E71" s="825">
        <v>0</v>
      </c>
      <c r="F71" s="825">
        <v>1837.48</v>
      </c>
      <c r="G71" s="825">
        <v>-1837.48</v>
      </c>
      <c r="H71" s="825">
        <v>479.58</v>
      </c>
      <c r="I71" s="829">
        <v>0</v>
      </c>
      <c r="J71" s="826">
        <v>0</v>
      </c>
      <c r="K71" s="827">
        <v>0</v>
      </c>
      <c r="L71" s="827">
        <v>0</v>
      </c>
      <c r="M71" s="827">
        <v>0</v>
      </c>
      <c r="N71" s="827">
        <v>0</v>
      </c>
    </row>
    <row r="72" spans="1:14">
      <c r="A72" s="823"/>
      <c r="B72" s="819" t="s">
        <v>1047</v>
      </c>
      <c r="C72" s="820">
        <v>24</v>
      </c>
      <c r="D72" s="820">
        <v>302069</v>
      </c>
      <c r="E72" s="820">
        <v>0</v>
      </c>
      <c r="F72" s="820">
        <v>1931.42</v>
      </c>
      <c r="G72" s="820">
        <v>-1931.42</v>
      </c>
      <c r="H72" s="820">
        <v>4203.22</v>
      </c>
      <c r="I72" s="830">
        <v>18</v>
      </c>
      <c r="J72" s="830">
        <v>271093</v>
      </c>
      <c r="K72" s="832">
        <v>0</v>
      </c>
      <c r="L72" s="832">
        <v>147.89272775442271</v>
      </c>
      <c r="M72" s="832">
        <v>-147.89272775442271</v>
      </c>
      <c r="N72" s="832">
        <v>4731.218209790436</v>
      </c>
    </row>
    <row r="73" spans="1:14">
      <c r="A73" s="823"/>
      <c r="B73" s="823"/>
      <c r="C73" s="825"/>
      <c r="D73" s="825"/>
      <c r="E73" s="825"/>
      <c r="F73" s="825"/>
      <c r="G73" s="825"/>
      <c r="H73" s="825"/>
      <c r="I73" s="826"/>
      <c r="J73" s="826"/>
      <c r="K73" s="827"/>
      <c r="L73" s="827"/>
      <c r="M73" s="827"/>
      <c r="N73" s="827"/>
    </row>
    <row r="74" spans="1:14">
      <c r="A74" s="823" t="s">
        <v>1015</v>
      </c>
      <c r="B74" s="824" t="s">
        <v>1030</v>
      </c>
      <c r="C74" s="820">
        <v>0</v>
      </c>
      <c r="D74" s="820">
        <v>0</v>
      </c>
      <c r="E74" s="820">
        <v>0</v>
      </c>
      <c r="F74" s="820">
        <v>0</v>
      </c>
      <c r="G74" s="820">
        <v>0</v>
      </c>
      <c r="H74" s="820">
        <v>0</v>
      </c>
      <c r="I74" s="830">
        <v>0</v>
      </c>
      <c r="J74" s="831">
        <v>0</v>
      </c>
      <c r="K74" s="832">
        <v>0</v>
      </c>
      <c r="L74" s="832">
        <v>0</v>
      </c>
      <c r="M74" s="832">
        <v>0</v>
      </c>
      <c r="N74" s="832">
        <v>0</v>
      </c>
    </row>
    <row r="75" spans="1:14">
      <c r="A75" s="823"/>
      <c r="B75" s="823"/>
      <c r="C75" s="825"/>
      <c r="D75" s="825"/>
      <c r="E75" s="825"/>
      <c r="F75" s="825"/>
      <c r="G75" s="825"/>
      <c r="H75" s="825"/>
      <c r="I75" s="826"/>
      <c r="J75" s="826"/>
      <c r="K75" s="827"/>
      <c r="L75" s="827"/>
      <c r="M75" s="827"/>
      <c r="N75" s="827"/>
    </row>
    <row r="76" spans="1:14">
      <c r="A76" s="823"/>
      <c r="B76" s="819" t="s">
        <v>1048</v>
      </c>
      <c r="C76" s="820">
        <v>126</v>
      </c>
      <c r="D76" s="820">
        <v>439475</v>
      </c>
      <c r="E76" s="820">
        <v>102.64</v>
      </c>
      <c r="F76" s="820">
        <v>7316.05</v>
      </c>
      <c r="G76" s="820">
        <v>-7213.41</v>
      </c>
      <c r="H76" s="820">
        <v>25941.83</v>
      </c>
      <c r="I76" s="830">
        <v>102</v>
      </c>
      <c r="J76" s="830">
        <v>540582</v>
      </c>
      <c r="K76" s="832">
        <v>96.65</v>
      </c>
      <c r="L76" s="832">
        <v>2213.7066295734703</v>
      </c>
      <c r="M76" s="832">
        <v>-2117.0566295734707</v>
      </c>
      <c r="N76" s="832">
        <v>26741.459241214543</v>
      </c>
    </row>
    <row r="77" spans="1:14">
      <c r="A77" s="823"/>
      <c r="B77" s="823"/>
      <c r="C77" s="825"/>
      <c r="D77" s="825"/>
      <c r="E77" s="825"/>
      <c r="F77" s="825"/>
      <c r="G77" s="825"/>
      <c r="H77" s="825"/>
      <c r="I77" s="826"/>
      <c r="J77" s="826"/>
      <c r="K77" s="827"/>
      <c r="L77" s="827"/>
      <c r="M77" s="827"/>
      <c r="N77" s="827"/>
    </row>
    <row r="78" spans="1:14" s="814" customFormat="1">
      <c r="A78" s="818" t="s">
        <v>1049</v>
      </c>
      <c r="B78" s="819" t="s">
        <v>1050</v>
      </c>
      <c r="C78" s="825"/>
      <c r="D78" s="825"/>
      <c r="E78" s="825"/>
      <c r="F78" s="825"/>
      <c r="G78" s="825"/>
      <c r="H78" s="825"/>
      <c r="I78" s="826"/>
      <c r="J78" s="826"/>
      <c r="K78" s="827"/>
      <c r="L78" s="827"/>
      <c r="M78" s="827"/>
      <c r="N78" s="827"/>
    </row>
    <row r="79" spans="1:14">
      <c r="A79" s="823" t="s">
        <v>982</v>
      </c>
      <c r="B79" s="824" t="s">
        <v>983</v>
      </c>
      <c r="C79" s="820">
        <v>12</v>
      </c>
      <c r="D79" s="820">
        <v>2734</v>
      </c>
      <c r="E79" s="820">
        <v>11.01</v>
      </c>
      <c r="F79" s="820">
        <v>753.31</v>
      </c>
      <c r="G79" s="820">
        <v>-742.3</v>
      </c>
      <c r="H79" s="820">
        <v>246.94</v>
      </c>
      <c r="I79" s="831">
        <v>12</v>
      </c>
      <c r="J79" s="831">
        <v>2352</v>
      </c>
      <c r="K79" s="832">
        <v>2.4402750000000001E-2</v>
      </c>
      <c r="L79" s="832">
        <v>401.72089580800002</v>
      </c>
      <c r="M79" s="832">
        <v>-401.69649305799999</v>
      </c>
      <c r="N79" s="832">
        <v>154.54631748099143</v>
      </c>
    </row>
    <row r="80" spans="1:14">
      <c r="A80" s="823"/>
      <c r="B80" s="823"/>
      <c r="C80" s="825"/>
      <c r="D80" s="825"/>
      <c r="E80" s="825"/>
      <c r="F80" s="825"/>
      <c r="G80" s="825"/>
      <c r="H80" s="825"/>
      <c r="I80" s="826"/>
      <c r="J80" s="826"/>
      <c r="K80" s="827"/>
      <c r="L80" s="827"/>
      <c r="M80" s="827"/>
      <c r="N80" s="827"/>
    </row>
    <row r="81" spans="1:14">
      <c r="A81" s="823" t="s">
        <v>1001</v>
      </c>
      <c r="B81" s="824" t="s">
        <v>1051</v>
      </c>
      <c r="C81" s="820">
        <v>0</v>
      </c>
      <c r="D81" s="820">
        <v>0</v>
      </c>
      <c r="E81" s="820">
        <v>0</v>
      </c>
      <c r="F81" s="820">
        <v>0</v>
      </c>
      <c r="G81" s="820">
        <v>0</v>
      </c>
      <c r="H81" s="820">
        <v>0</v>
      </c>
      <c r="I81" s="831">
        <v>0</v>
      </c>
      <c r="J81" s="831">
        <v>0</v>
      </c>
      <c r="K81" s="832">
        <v>0</v>
      </c>
      <c r="L81" s="832">
        <v>0</v>
      </c>
      <c r="M81" s="832">
        <v>0</v>
      </c>
      <c r="N81" s="832">
        <v>0</v>
      </c>
    </row>
    <row r="82" spans="1:14">
      <c r="A82" s="823"/>
      <c r="B82" s="823"/>
      <c r="C82" s="825"/>
      <c r="D82" s="825"/>
      <c r="E82" s="825"/>
      <c r="F82" s="825"/>
      <c r="G82" s="825"/>
      <c r="H82" s="825"/>
      <c r="I82" s="826"/>
      <c r="J82" s="826"/>
      <c r="K82" s="827"/>
      <c r="L82" s="827"/>
      <c r="M82" s="827"/>
      <c r="N82" s="827"/>
    </row>
    <row r="83" spans="1:14">
      <c r="A83" s="823" t="s">
        <v>1015</v>
      </c>
      <c r="B83" s="824" t="s">
        <v>1030</v>
      </c>
      <c r="C83" s="820">
        <v>0</v>
      </c>
      <c r="D83" s="820">
        <v>0</v>
      </c>
      <c r="E83" s="820">
        <v>0</v>
      </c>
      <c r="F83" s="820">
        <v>0</v>
      </c>
      <c r="G83" s="820">
        <v>0</v>
      </c>
      <c r="H83" s="820">
        <v>0</v>
      </c>
      <c r="I83" s="831">
        <v>0</v>
      </c>
      <c r="J83" s="831">
        <v>0</v>
      </c>
      <c r="K83" s="832">
        <v>0</v>
      </c>
      <c r="L83" s="832">
        <v>0</v>
      </c>
      <c r="M83" s="832">
        <v>0</v>
      </c>
      <c r="N83" s="832">
        <v>0</v>
      </c>
    </row>
    <row r="84" spans="1:14">
      <c r="A84" s="823"/>
      <c r="B84" s="823"/>
      <c r="C84" s="825"/>
      <c r="D84" s="825"/>
      <c r="E84" s="825"/>
      <c r="F84" s="825"/>
      <c r="G84" s="825"/>
      <c r="H84" s="825"/>
      <c r="I84" s="826"/>
      <c r="J84" s="826"/>
      <c r="K84" s="827"/>
      <c r="L84" s="827"/>
      <c r="M84" s="827"/>
      <c r="N84" s="827"/>
    </row>
    <row r="85" spans="1:14">
      <c r="A85" s="823"/>
      <c r="B85" s="819" t="s">
        <v>1052</v>
      </c>
      <c r="C85" s="820">
        <v>12</v>
      </c>
      <c r="D85" s="820">
        <v>2734</v>
      </c>
      <c r="E85" s="820">
        <v>11.01</v>
      </c>
      <c r="F85" s="820">
        <v>753.31</v>
      </c>
      <c r="G85" s="820">
        <v>-742.3</v>
      </c>
      <c r="H85" s="820">
        <v>246.94</v>
      </c>
      <c r="I85" s="831">
        <v>12</v>
      </c>
      <c r="J85" s="831">
        <v>2352</v>
      </c>
      <c r="K85" s="832">
        <v>2.4402750000000001E-2</v>
      </c>
      <c r="L85" s="832">
        <v>401.72089580800002</v>
      </c>
      <c r="M85" s="832">
        <v>-401.69649305799999</v>
      </c>
      <c r="N85" s="832">
        <v>154.54631748099143</v>
      </c>
    </row>
    <row r="86" spans="1:14">
      <c r="A86" s="823"/>
      <c r="B86" s="823"/>
      <c r="C86" s="825"/>
      <c r="D86" s="825"/>
      <c r="E86" s="825"/>
      <c r="F86" s="825"/>
      <c r="G86" s="825"/>
      <c r="H86" s="825"/>
      <c r="I86" s="826"/>
      <c r="J86" s="826"/>
      <c r="K86" s="827"/>
      <c r="L86" s="827"/>
      <c r="M86" s="827"/>
      <c r="N86" s="827"/>
    </row>
    <row r="87" spans="1:14" s="814" customFormat="1">
      <c r="A87" s="833"/>
      <c r="B87" s="833" t="s">
        <v>1053</v>
      </c>
      <c r="C87" s="820">
        <v>1437</v>
      </c>
      <c r="D87" s="820">
        <v>149131708</v>
      </c>
      <c r="E87" s="820">
        <v>2630253.1</v>
      </c>
      <c r="F87" s="820">
        <v>2453420.14</v>
      </c>
      <c r="G87" s="820">
        <v>176832.92</v>
      </c>
      <c r="H87" s="820">
        <v>4439187.21</v>
      </c>
      <c r="I87" s="830">
        <v>1599</v>
      </c>
      <c r="J87" s="830">
        <v>204521639</v>
      </c>
      <c r="K87" s="832">
        <v>5475167.2276264802</v>
      </c>
      <c r="L87" s="832">
        <v>4871886.7892868379</v>
      </c>
      <c r="M87" s="832">
        <v>603280.43833964225</v>
      </c>
      <c r="N87" s="832">
        <v>6670305.1594206784</v>
      </c>
    </row>
    <row r="88" spans="1:14">
      <c r="A88" s="823"/>
      <c r="B88" s="823"/>
      <c r="C88" s="825"/>
      <c r="D88" s="825"/>
      <c r="E88" s="825"/>
      <c r="F88" s="825"/>
      <c r="G88" s="825"/>
      <c r="H88" s="825"/>
      <c r="I88" s="826"/>
      <c r="J88" s="826"/>
      <c r="K88" s="827"/>
      <c r="L88" s="827"/>
      <c r="M88" s="827"/>
      <c r="N88" s="827"/>
    </row>
    <row r="89" spans="1:14">
      <c r="A89" s="823"/>
      <c r="B89" s="824" t="s">
        <v>1054</v>
      </c>
      <c r="C89" s="821">
        <v>76</v>
      </c>
      <c r="D89" s="821">
        <v>1870167</v>
      </c>
      <c r="E89" s="821">
        <v>2720.01</v>
      </c>
      <c r="F89" s="821">
        <v>4622.68</v>
      </c>
      <c r="G89" s="821">
        <v>-1902.68</v>
      </c>
      <c r="H89" s="821">
        <v>67690.490000000005</v>
      </c>
      <c r="I89" s="834">
        <v>84</v>
      </c>
      <c r="J89" s="834">
        <v>2690668</v>
      </c>
      <c r="K89" s="835">
        <v>8184.9558211008007</v>
      </c>
      <c r="L89" s="835">
        <v>6496.2639231870735</v>
      </c>
      <c r="M89" s="835">
        <v>1688.691897913727</v>
      </c>
      <c r="N89" s="835">
        <v>84048.981503943854</v>
      </c>
    </row>
    <row r="90" spans="1:14">
      <c r="A90" s="836" t="s">
        <v>81</v>
      </c>
      <c r="B90" s="836"/>
      <c r="C90" s="837"/>
      <c r="D90" s="837"/>
      <c r="E90" s="837"/>
      <c r="F90" s="837"/>
      <c r="G90" s="837"/>
      <c r="H90" s="838"/>
    </row>
    <row r="91" spans="1:14" ht="15" customHeight="1">
      <c r="A91" s="1478" t="s">
        <v>1055</v>
      </c>
      <c r="B91" s="1478"/>
      <c r="C91" s="1478"/>
      <c r="D91" s="1478"/>
      <c r="E91" s="837"/>
      <c r="F91" s="837"/>
      <c r="G91" s="837"/>
      <c r="H91" s="838"/>
    </row>
    <row r="92" spans="1:14" ht="15" customHeight="1">
      <c r="A92" s="1479" t="s">
        <v>1394</v>
      </c>
      <c r="B92" s="1479"/>
      <c r="C92" s="840"/>
      <c r="D92" s="840"/>
      <c r="E92" s="840"/>
      <c r="F92" s="840"/>
      <c r="G92" s="840"/>
    </row>
    <row r="93" spans="1:14" ht="15" customHeight="1">
      <c r="A93" s="1479" t="s">
        <v>1056</v>
      </c>
      <c r="B93" s="1480"/>
      <c r="C93" s="1480"/>
      <c r="D93" s="1480"/>
      <c r="E93" s="1480"/>
      <c r="F93" s="1480"/>
      <c r="G93" s="1480"/>
    </row>
    <row r="94" spans="1:14" ht="15" customHeight="1">
      <c r="A94" s="1479" t="s">
        <v>130</v>
      </c>
      <c r="B94" s="1479"/>
      <c r="C94" s="840"/>
      <c r="D94" s="840"/>
      <c r="E94" s="840"/>
      <c r="F94" s="840"/>
      <c r="G94" s="840"/>
    </row>
    <row r="98" spans="3:3">
      <c r="C98" s="841"/>
    </row>
    <row r="99" spans="3:3">
      <c r="C99" s="841"/>
    </row>
    <row r="100" spans="3:3">
      <c r="C100" s="841"/>
    </row>
  </sheetData>
  <mergeCells count="9">
    <mergeCell ref="A91:D91"/>
    <mergeCell ref="A92:B92"/>
    <mergeCell ref="A93:G93"/>
    <mergeCell ref="A94:B94"/>
    <mergeCell ref="A1:D1"/>
    <mergeCell ref="A2:A3"/>
    <mergeCell ref="B2:B3"/>
    <mergeCell ref="C2:H2"/>
    <mergeCell ref="I2:N2"/>
  </mergeCells>
  <pageMargins left="0.7" right="0.7" top="0.75" bottom="0.75" header="0.3" footer="0.3"/>
  <pageSetup paperSize="9" scale="51" fitToHeight="0" orientation="landscape" r:id="rId1"/>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20"/>
  <sheetViews>
    <sheetView workbookViewId="0">
      <selection sqref="A1:J1"/>
    </sheetView>
  </sheetViews>
  <sheetFormatPr defaultColWidth="9.140625" defaultRowHeight="15"/>
  <cols>
    <col min="1" max="1" width="14.42578125" style="803" bestFit="1" customWidth="1"/>
    <col min="2" max="3" width="14.85546875" style="803" bestFit="1" customWidth="1"/>
    <col min="4" max="4" width="13.7109375" style="803" bestFit="1" customWidth="1"/>
    <col min="5" max="6" width="14.85546875" style="803" bestFit="1" customWidth="1"/>
    <col min="7" max="7" width="13.7109375" style="803" bestFit="1" customWidth="1"/>
    <col min="8" max="9" width="12.85546875" style="803" bestFit="1" customWidth="1"/>
    <col min="10" max="10" width="16.140625" style="803" bestFit="1" customWidth="1"/>
    <col min="11" max="11" width="10" style="803" customWidth="1"/>
    <col min="12" max="16384" width="9.140625" style="803"/>
  </cols>
  <sheetData>
    <row r="1" spans="1:18" ht="15" customHeight="1">
      <c r="A1" s="1482" t="s">
        <v>1057</v>
      </c>
      <c r="B1" s="1483"/>
      <c r="C1" s="1483"/>
      <c r="D1" s="1483"/>
      <c r="E1" s="1483"/>
      <c r="F1" s="1483"/>
      <c r="G1" s="1483"/>
      <c r="H1" s="1483"/>
      <c r="I1" s="1483"/>
      <c r="J1" s="1484"/>
    </row>
    <row r="2" spans="1:18" s="842" customFormat="1">
      <c r="A2" s="1485" t="s">
        <v>116</v>
      </c>
      <c r="B2" s="1486" t="s">
        <v>631</v>
      </c>
      <c r="C2" s="1486"/>
      <c r="D2" s="1486"/>
      <c r="E2" s="1486" t="s">
        <v>140</v>
      </c>
      <c r="F2" s="1486"/>
      <c r="G2" s="1486"/>
      <c r="H2" s="1486" t="s">
        <v>96</v>
      </c>
      <c r="I2" s="1486"/>
      <c r="J2" s="1486"/>
      <c r="K2" s="803"/>
      <c r="L2" s="803"/>
      <c r="M2" s="803"/>
      <c r="N2" s="803"/>
      <c r="O2" s="803"/>
      <c r="P2" s="803"/>
      <c r="Q2" s="803"/>
      <c r="R2" s="803"/>
    </row>
    <row r="3" spans="1:18" s="842" customFormat="1" ht="45">
      <c r="A3" s="1485"/>
      <c r="B3" s="843" t="s">
        <v>1058</v>
      </c>
      <c r="C3" s="843" t="s">
        <v>1059</v>
      </c>
      <c r="D3" s="843" t="s">
        <v>1060</v>
      </c>
      <c r="E3" s="843" t="s">
        <v>1058</v>
      </c>
      <c r="F3" s="843" t="s">
        <v>1059</v>
      </c>
      <c r="G3" s="843" t="s">
        <v>1060</v>
      </c>
      <c r="H3" s="843" t="s">
        <v>1058</v>
      </c>
      <c r="I3" s="843" t="s">
        <v>1059</v>
      </c>
      <c r="J3" s="843" t="s">
        <v>1060</v>
      </c>
      <c r="K3" s="803"/>
      <c r="L3" s="803"/>
      <c r="M3" s="803"/>
      <c r="N3" s="803"/>
      <c r="O3" s="803"/>
      <c r="P3" s="803"/>
      <c r="Q3" s="803"/>
      <c r="R3" s="803"/>
    </row>
    <row r="4" spans="1:18" s="845" customFormat="1">
      <c r="A4" s="530" t="s">
        <v>518</v>
      </c>
      <c r="B4" s="844">
        <v>1689869.16</v>
      </c>
      <c r="C4" s="844">
        <v>1489137.0499999998</v>
      </c>
      <c r="D4" s="844">
        <v>200732.11000000004</v>
      </c>
      <c r="E4" s="844">
        <v>1900513.16</v>
      </c>
      <c r="F4" s="844">
        <v>2096290.51</v>
      </c>
      <c r="G4" s="844">
        <v>-195777.35</v>
      </c>
      <c r="H4" s="844">
        <v>3590382.3200000003</v>
      </c>
      <c r="I4" s="844">
        <v>3585427.5599999996</v>
      </c>
      <c r="J4" s="844">
        <v>4954.7600000000239</v>
      </c>
      <c r="K4" s="803"/>
      <c r="L4" s="803"/>
      <c r="M4" s="803"/>
      <c r="N4" s="803"/>
      <c r="O4" s="803"/>
      <c r="P4" s="803"/>
      <c r="Q4" s="803"/>
      <c r="R4" s="803"/>
    </row>
    <row r="5" spans="1:18" s="845" customFormat="1">
      <c r="A5" s="531" t="s">
        <v>743</v>
      </c>
      <c r="B5" s="846">
        <f>SUM(B6:B17)</f>
        <v>1211237.8299999998</v>
      </c>
      <c r="C5" s="846">
        <f t="shared" ref="C5:J5" si="0">SUM(C6:C17)</f>
        <v>1045314.8899999999</v>
      </c>
      <c r="D5" s="846">
        <f t="shared" si="0"/>
        <v>165922.94</v>
      </c>
      <c r="E5" s="846">
        <f t="shared" si="0"/>
        <v>779654.37</v>
      </c>
      <c r="F5" s="846">
        <f t="shared" si="0"/>
        <v>877071.07000000007</v>
      </c>
      <c r="G5" s="846">
        <f t="shared" si="0"/>
        <v>-97416.700000000012</v>
      </c>
      <c r="H5" s="846">
        <f t="shared" si="0"/>
        <v>1990892.2</v>
      </c>
      <c r="I5" s="846">
        <f t="shared" si="0"/>
        <v>1922385.96</v>
      </c>
      <c r="J5" s="846">
        <f t="shared" si="0"/>
        <v>68506.239999999976</v>
      </c>
      <c r="K5" s="847"/>
      <c r="L5" s="847"/>
      <c r="M5" s="847"/>
      <c r="N5" s="847"/>
      <c r="O5" s="847"/>
      <c r="P5" s="847"/>
      <c r="Q5" s="847"/>
      <c r="R5" s="847"/>
    </row>
    <row r="6" spans="1:18" s="842" customFormat="1">
      <c r="A6" s="174">
        <v>45412</v>
      </c>
      <c r="B6" s="848">
        <v>206765.05</v>
      </c>
      <c r="C6" s="848">
        <v>173941.35</v>
      </c>
      <c r="D6" s="849">
        <f>B6-C6</f>
        <v>32823.699999999983</v>
      </c>
      <c r="E6" s="848">
        <v>141518.29999999999</v>
      </c>
      <c r="F6" s="850">
        <v>126989.36</v>
      </c>
      <c r="G6" s="849">
        <f>E6-F6</f>
        <v>14528.939999999988</v>
      </c>
      <c r="H6" s="849">
        <f>B6+E6</f>
        <v>348283.35</v>
      </c>
      <c r="I6" s="849">
        <f t="shared" ref="I6:J10" si="1">C6+F6</f>
        <v>300930.71000000002</v>
      </c>
      <c r="J6" s="849">
        <f t="shared" si="1"/>
        <v>47352.63999999997</v>
      </c>
      <c r="K6" s="803"/>
      <c r="L6" s="803"/>
      <c r="M6" s="803"/>
      <c r="N6" s="803"/>
      <c r="O6" s="803"/>
      <c r="P6" s="803"/>
      <c r="Q6" s="803"/>
      <c r="R6" s="803"/>
    </row>
    <row r="7" spans="1:18" s="331" customFormat="1" ht="15" customHeight="1">
      <c r="A7" s="174">
        <v>45443</v>
      </c>
      <c r="B7" s="851">
        <v>250702.03</v>
      </c>
      <c r="C7" s="851">
        <v>202603.02</v>
      </c>
      <c r="D7" s="851">
        <v>48099.01</v>
      </c>
      <c r="E7" s="851">
        <v>181627.12</v>
      </c>
      <c r="F7" s="851">
        <v>225723.47</v>
      </c>
      <c r="G7" s="851">
        <v>-44096.35</v>
      </c>
      <c r="H7" s="849">
        <f>B7+E7</f>
        <v>432329.15</v>
      </c>
      <c r="I7" s="849">
        <f t="shared" si="1"/>
        <v>428326.49</v>
      </c>
      <c r="J7" s="849">
        <f t="shared" si="1"/>
        <v>4002.6600000000035</v>
      </c>
    </row>
    <row r="8" spans="1:18" s="331" customFormat="1" ht="15" customHeight="1">
      <c r="A8" s="174">
        <v>45473</v>
      </c>
      <c r="B8" s="851">
        <v>286508.09999999998</v>
      </c>
      <c r="C8" s="851">
        <v>258282.46</v>
      </c>
      <c r="D8" s="851">
        <v>28225.64</v>
      </c>
      <c r="E8" s="851">
        <v>177883.69</v>
      </c>
      <c r="F8" s="851">
        <v>182683.28</v>
      </c>
      <c r="G8" s="851">
        <v>-4799.59</v>
      </c>
      <c r="H8" s="851">
        <f>B8+E8</f>
        <v>464391.79</v>
      </c>
      <c r="I8" s="851">
        <f t="shared" si="1"/>
        <v>440965.74</v>
      </c>
      <c r="J8" s="851">
        <f t="shared" si="1"/>
        <v>23426.05</v>
      </c>
      <c r="M8" s="336"/>
      <c r="N8" s="336"/>
      <c r="O8" s="336"/>
    </row>
    <row r="9" spans="1:18" s="331" customFormat="1">
      <c r="A9" s="174">
        <v>45504</v>
      </c>
      <c r="B9" s="851">
        <v>225680.35</v>
      </c>
      <c r="C9" s="851">
        <v>200590.98</v>
      </c>
      <c r="D9" s="851">
        <v>25089.37</v>
      </c>
      <c r="E9" s="851">
        <v>98533.36</v>
      </c>
      <c r="F9" s="851">
        <v>109112.64</v>
      </c>
      <c r="G9" s="851">
        <v>-10579.28</v>
      </c>
      <c r="H9" s="851">
        <f>B9+E9</f>
        <v>324213.71000000002</v>
      </c>
      <c r="I9" s="851">
        <f t="shared" si="1"/>
        <v>309703.62</v>
      </c>
      <c r="J9" s="851">
        <f t="shared" si="1"/>
        <v>14510.089999999998</v>
      </c>
      <c r="M9" s="336"/>
      <c r="N9" s="336"/>
      <c r="O9" s="336"/>
    </row>
    <row r="10" spans="1:18" s="331" customFormat="1">
      <c r="A10" s="174">
        <v>45535</v>
      </c>
      <c r="B10" s="851">
        <v>241582.3</v>
      </c>
      <c r="C10" s="851">
        <v>209897.08</v>
      </c>
      <c r="D10" s="851">
        <v>31685.22</v>
      </c>
      <c r="E10" s="851">
        <v>180091.9</v>
      </c>
      <c r="F10" s="851">
        <v>232562.32</v>
      </c>
      <c r="G10" s="851">
        <v>-52470.42</v>
      </c>
      <c r="H10" s="851">
        <f>B10+E10</f>
        <v>421674.19999999995</v>
      </c>
      <c r="I10" s="851">
        <f t="shared" si="1"/>
        <v>442459.4</v>
      </c>
      <c r="J10" s="851">
        <f t="shared" si="1"/>
        <v>-20785.199999999997</v>
      </c>
    </row>
    <row r="11" spans="1:18" s="331" customFormat="1">
      <c r="A11" s="174">
        <v>45565</v>
      </c>
      <c r="B11" s="395"/>
      <c r="C11" s="395"/>
      <c r="D11" s="395"/>
      <c r="E11" s="395"/>
      <c r="F11" s="395"/>
      <c r="G11" s="395"/>
      <c r="H11" s="395"/>
      <c r="I11" s="395"/>
      <c r="J11" s="395"/>
    </row>
    <row r="12" spans="1:18" s="331" customFormat="1">
      <c r="A12" s="174">
        <v>45596</v>
      </c>
      <c r="B12" s="395"/>
      <c r="C12" s="395"/>
      <c r="D12" s="395"/>
      <c r="E12" s="395"/>
      <c r="F12" s="395"/>
      <c r="G12" s="395"/>
      <c r="H12" s="395"/>
      <c r="I12" s="395"/>
      <c r="J12" s="395"/>
    </row>
    <row r="13" spans="1:18" s="331" customFormat="1">
      <c r="A13" s="174">
        <v>45626</v>
      </c>
      <c r="B13" s="395"/>
      <c r="C13" s="395"/>
      <c r="D13" s="395"/>
      <c r="E13" s="395"/>
      <c r="F13" s="395"/>
      <c r="G13" s="395"/>
      <c r="H13" s="395"/>
      <c r="I13" s="395"/>
      <c r="J13" s="395"/>
    </row>
    <row r="14" spans="1:18" s="331" customFormat="1">
      <c r="A14" s="174">
        <v>45657</v>
      </c>
      <c r="B14" s="395"/>
      <c r="C14" s="395"/>
      <c r="D14" s="395"/>
      <c r="E14" s="395"/>
      <c r="F14" s="395"/>
      <c r="G14" s="395"/>
      <c r="H14" s="395"/>
      <c r="I14" s="395"/>
      <c r="J14" s="395"/>
    </row>
    <row r="15" spans="1:18" s="331" customFormat="1">
      <c r="A15" s="174">
        <v>45688</v>
      </c>
      <c r="B15" s="395"/>
      <c r="C15" s="395"/>
      <c r="D15" s="395"/>
      <c r="E15" s="395"/>
      <c r="F15" s="395"/>
      <c r="G15" s="395"/>
      <c r="H15" s="395"/>
      <c r="I15" s="395"/>
      <c r="J15" s="395"/>
    </row>
    <row r="16" spans="1:18" s="331" customFormat="1">
      <c r="A16" s="174">
        <v>45716</v>
      </c>
      <c r="B16" s="395"/>
      <c r="C16" s="395"/>
      <c r="D16" s="395"/>
      <c r="E16" s="395"/>
      <c r="F16" s="395"/>
      <c r="G16" s="395"/>
      <c r="H16" s="395"/>
      <c r="I16" s="395"/>
      <c r="J16" s="395"/>
    </row>
    <row r="17" spans="1:10" s="331" customFormat="1">
      <c r="A17" s="174">
        <v>45747</v>
      </c>
      <c r="B17" s="395"/>
      <c r="C17" s="395"/>
      <c r="D17" s="395"/>
      <c r="E17" s="395"/>
      <c r="F17" s="395"/>
      <c r="G17" s="395"/>
      <c r="H17" s="395"/>
      <c r="I17" s="395"/>
      <c r="J17" s="395"/>
    </row>
    <row r="18" spans="1:10" ht="15" customHeight="1">
      <c r="A18" s="743" t="str">
        <f>"$ indicates as on "&amp;TEXT(IF(COUNT(B6:B17)=1,A6,IF(COUNT(B6:B17)=2,A7,IF(COUNT(B6:B17)=3,A8,IF(COUNT(B6:B17)=4,A9,IF(COUNT(B6:B17)=5,A10,IF(COUNT(B6:B17)=6,A11,IF(COUNT(B6:B17)=7,A12,IF(COUNT(B6:B17)=8,A13,IF(COUNT(B6:B17)=9,A14,IF(COUNT(B6:B17)=10,A15,IF(COUNT(B6:B17)=11,A16,A17))))))))))),"mmmm dd, yyyy")</f>
        <v>$ indicates as on August 31, 2024</v>
      </c>
      <c r="B18" s="1157"/>
      <c r="C18" s="1157"/>
      <c r="D18" s="1157"/>
      <c r="E18" s="1157"/>
      <c r="F18" s="1157"/>
      <c r="G18" s="1157"/>
      <c r="H18" s="1157"/>
      <c r="I18" s="1157"/>
      <c r="J18" s="1157"/>
    </row>
    <row r="19" spans="1:10" ht="15" customHeight="1">
      <c r="A19" s="1481" t="s">
        <v>1061</v>
      </c>
      <c r="B19" s="1481"/>
      <c r="C19" s="1481"/>
      <c r="D19" s="1481"/>
      <c r="E19" s="1481"/>
      <c r="F19" s="1481"/>
      <c r="G19" s="1481"/>
      <c r="H19" s="1481"/>
      <c r="I19" s="1481"/>
      <c r="J19" s="1481"/>
    </row>
    <row r="20" spans="1:10">
      <c r="A20" s="1155" t="s">
        <v>143</v>
      </c>
      <c r="B20" s="1155"/>
      <c r="C20" s="1156"/>
      <c r="D20" s="1156"/>
      <c r="E20" s="1156"/>
      <c r="F20" s="1156"/>
      <c r="G20" s="1156"/>
      <c r="H20" s="1156"/>
      <c r="I20" s="1156"/>
      <c r="J20" s="1156"/>
    </row>
  </sheetData>
  <mergeCells count="6">
    <mergeCell ref="A19:J19"/>
    <mergeCell ref="A1:J1"/>
    <mergeCell ref="A2:A3"/>
    <mergeCell ref="B2:D2"/>
    <mergeCell ref="E2:G2"/>
    <mergeCell ref="H2:J2"/>
  </mergeCells>
  <pageMargins left="0.7" right="0.7" top="0.75" bottom="0.75" header="0.3" footer="0.3"/>
  <pageSetup paperSize="9" scale="91" fitToHeight="0" orientation="landscape" r:id="rId1"/>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23"/>
  <sheetViews>
    <sheetView workbookViewId="0"/>
  </sheetViews>
  <sheetFormatPr defaultRowHeight="15"/>
  <cols>
    <col min="1" max="1" width="29" style="336" customWidth="1"/>
    <col min="2" max="2" width="18.28515625" style="336" customWidth="1"/>
    <col min="3" max="4" width="12.7109375" style="336" customWidth="1"/>
    <col min="5" max="5" width="10.7109375" style="336" customWidth="1"/>
    <col min="6" max="6" width="12.5703125" style="336" bestFit="1" customWidth="1"/>
    <col min="7" max="7" width="14" style="336" customWidth="1"/>
    <col min="8" max="8" width="12.5703125" style="336" customWidth="1"/>
    <col min="9" max="9" width="11.7109375" style="336" customWidth="1"/>
    <col min="10" max="10" width="10.5703125" style="336" bestFit="1" customWidth="1"/>
    <col min="11" max="11" width="11.5703125" style="336" bestFit="1" customWidth="1"/>
    <col min="12" max="12" width="10.5703125" style="336" bestFit="1" customWidth="1"/>
    <col min="13" max="16384" width="9.140625" style="336"/>
  </cols>
  <sheetData>
    <row r="1" spans="1:11">
      <c r="A1" s="258" t="s">
        <v>56</v>
      </c>
      <c r="B1" s="258"/>
      <c r="C1" s="258"/>
      <c r="D1" s="258"/>
      <c r="E1" s="258"/>
      <c r="F1" s="258"/>
      <c r="G1" s="258"/>
      <c r="H1" s="258"/>
      <c r="I1" s="258"/>
      <c r="J1" s="258"/>
      <c r="K1" s="258"/>
    </row>
    <row r="2" spans="1:11">
      <c r="A2" s="852" t="s">
        <v>116</v>
      </c>
      <c r="B2" s="1487">
        <v>45474</v>
      </c>
      <c r="C2" s="1488"/>
      <c r="D2" s="1488"/>
      <c r="E2" s="1488"/>
      <c r="F2" s="1489"/>
      <c r="G2" s="1487">
        <v>45108</v>
      </c>
      <c r="H2" s="1488"/>
      <c r="I2" s="1488"/>
      <c r="J2" s="1488"/>
      <c r="K2" s="1489"/>
    </row>
    <row r="3" spans="1:11" ht="45">
      <c r="A3" s="853" t="s">
        <v>630</v>
      </c>
      <c r="B3" s="854" t="s">
        <v>1062</v>
      </c>
      <c r="C3" s="854" t="s">
        <v>1063</v>
      </c>
      <c r="D3" s="854" t="s">
        <v>1064</v>
      </c>
      <c r="E3" s="854" t="s">
        <v>1065</v>
      </c>
      <c r="F3" s="854" t="s">
        <v>96</v>
      </c>
      <c r="G3" s="854" t="s">
        <v>1066</v>
      </c>
      <c r="H3" s="854" t="s">
        <v>1063</v>
      </c>
      <c r="I3" s="854" t="s">
        <v>1064</v>
      </c>
      <c r="J3" s="854" t="s">
        <v>1067</v>
      </c>
      <c r="K3" s="855" t="s">
        <v>96</v>
      </c>
    </row>
    <row r="4" spans="1:11">
      <c r="A4" s="856" t="s">
        <v>1068</v>
      </c>
      <c r="B4" s="857">
        <v>168085</v>
      </c>
      <c r="C4" s="857">
        <v>5499</v>
      </c>
      <c r="D4" s="858">
        <v>346</v>
      </c>
      <c r="E4" s="857">
        <v>1377</v>
      </c>
      <c r="F4" s="859">
        <v>175307</v>
      </c>
      <c r="G4" s="857">
        <v>137742</v>
      </c>
      <c r="H4" s="857">
        <v>4017</v>
      </c>
      <c r="I4" s="857">
        <v>54</v>
      </c>
      <c r="J4" s="857">
        <v>1740</v>
      </c>
      <c r="K4" s="860">
        <v>143553</v>
      </c>
    </row>
    <row r="5" spans="1:11">
      <c r="A5" s="1490" t="s">
        <v>1069</v>
      </c>
      <c r="B5" s="1491"/>
      <c r="C5" s="1491"/>
      <c r="D5" s="1491"/>
      <c r="E5" s="1491"/>
      <c r="F5" s="1491"/>
      <c r="G5" s="1491"/>
      <c r="H5" s="1491"/>
      <c r="I5" s="1491"/>
      <c r="J5" s="1491"/>
      <c r="K5" s="1492"/>
    </row>
    <row r="6" spans="1:11">
      <c r="A6" s="856" t="s">
        <v>1070</v>
      </c>
      <c r="B6" s="861">
        <v>365325.55304000003</v>
      </c>
      <c r="C6" s="861">
        <v>42156.617229999996</v>
      </c>
      <c r="D6" s="861">
        <v>0</v>
      </c>
      <c r="E6" s="861"/>
      <c r="F6" s="862">
        <v>407482.17027</v>
      </c>
      <c r="G6" s="857">
        <v>277659.42177999998</v>
      </c>
      <c r="H6" s="857">
        <v>23155.041270000002</v>
      </c>
      <c r="I6" s="857">
        <v>0</v>
      </c>
      <c r="J6" s="857">
        <v>0</v>
      </c>
      <c r="K6" s="863">
        <v>300814.46304999996</v>
      </c>
    </row>
    <row r="7" spans="1:11">
      <c r="A7" s="856" t="s">
        <v>1071</v>
      </c>
      <c r="B7" s="861">
        <v>1410.9205999999997</v>
      </c>
      <c r="C7" s="861">
        <v>611.7560299999999</v>
      </c>
      <c r="D7" s="861">
        <v>1301.50602</v>
      </c>
      <c r="E7" s="861"/>
      <c r="F7" s="862">
        <v>3324.1826499999997</v>
      </c>
      <c r="G7" s="857">
        <v>896.56740999999977</v>
      </c>
      <c r="H7" s="857">
        <v>374.05351000000002</v>
      </c>
      <c r="I7" s="857">
        <v>411.02</v>
      </c>
      <c r="J7" s="857">
        <v>0</v>
      </c>
      <c r="K7" s="863">
        <v>1681.6409199999998</v>
      </c>
    </row>
    <row r="8" spans="1:11">
      <c r="A8" s="856" t="s">
        <v>1072</v>
      </c>
      <c r="B8" s="861">
        <v>2457488.0649299994</v>
      </c>
      <c r="C8" s="861">
        <v>186829.20113</v>
      </c>
      <c r="D8" s="861">
        <v>0</v>
      </c>
      <c r="E8" s="861"/>
      <c r="F8" s="862">
        <v>2644317.2660599994</v>
      </c>
      <c r="G8" s="857">
        <v>2103095.1692399997</v>
      </c>
      <c r="H8" s="857">
        <v>164794.28844</v>
      </c>
      <c r="I8" s="857">
        <v>0</v>
      </c>
      <c r="J8" s="857">
        <v>0</v>
      </c>
      <c r="K8" s="863">
        <v>2267889.4576799995</v>
      </c>
    </row>
    <row r="9" spans="1:11">
      <c r="A9" s="856" t="s">
        <v>1073</v>
      </c>
      <c r="B9" s="861">
        <v>24583.141249999997</v>
      </c>
      <c r="C9" s="861">
        <v>232.19168000000005</v>
      </c>
      <c r="D9" s="861">
        <v>378.77</v>
      </c>
      <c r="E9" s="861"/>
      <c r="F9" s="862">
        <v>25194.102929999997</v>
      </c>
      <c r="G9" s="857">
        <v>24021.315999999999</v>
      </c>
      <c r="H9" s="857">
        <v>69.890000000000015</v>
      </c>
      <c r="I9" s="857">
        <v>86.12</v>
      </c>
      <c r="J9" s="857">
        <v>0</v>
      </c>
      <c r="K9" s="863">
        <v>24177.325999999997</v>
      </c>
    </row>
    <row r="10" spans="1:11">
      <c r="A10" s="864" t="s">
        <v>1074</v>
      </c>
      <c r="B10" s="861">
        <v>364.06865999999997</v>
      </c>
      <c r="C10" s="861">
        <v>820.64116999999987</v>
      </c>
      <c r="D10" s="861">
        <v>0</v>
      </c>
      <c r="E10" s="861"/>
      <c r="F10" s="862">
        <v>1184.7098299999998</v>
      </c>
      <c r="G10" s="857">
        <v>1172.24</v>
      </c>
      <c r="H10" s="857">
        <v>1160.8400000000001</v>
      </c>
      <c r="I10" s="857">
        <v>0</v>
      </c>
      <c r="J10" s="857">
        <v>0</v>
      </c>
      <c r="K10" s="863">
        <v>2333.08</v>
      </c>
    </row>
    <row r="11" spans="1:11">
      <c r="A11" s="864" t="s">
        <v>1075</v>
      </c>
      <c r="B11" s="861">
        <v>79.25479</v>
      </c>
      <c r="C11" s="861">
        <v>11.01441</v>
      </c>
      <c r="D11" s="861">
        <v>585.80000000000007</v>
      </c>
      <c r="E11" s="861"/>
      <c r="F11" s="862">
        <v>676.06920000000002</v>
      </c>
      <c r="G11" s="857">
        <v>73.180000000000007</v>
      </c>
      <c r="H11" s="857">
        <v>30.46</v>
      </c>
      <c r="I11" s="857">
        <v>0</v>
      </c>
      <c r="J11" s="857">
        <v>0</v>
      </c>
      <c r="K11" s="863">
        <v>103.64000000000001</v>
      </c>
    </row>
    <row r="12" spans="1:11">
      <c r="A12" s="856" t="s">
        <v>1076</v>
      </c>
      <c r="B12" s="861">
        <v>389.17581000000001</v>
      </c>
      <c r="C12" s="861">
        <v>0.26</v>
      </c>
      <c r="D12" s="861">
        <v>0</v>
      </c>
      <c r="E12" s="861"/>
      <c r="F12" s="862">
        <v>389.43581</v>
      </c>
      <c r="G12" s="857">
        <v>217.35840999999999</v>
      </c>
      <c r="H12" s="857">
        <v>0</v>
      </c>
      <c r="I12" s="857">
        <v>0</v>
      </c>
      <c r="J12" s="857">
        <v>0</v>
      </c>
      <c r="K12" s="863">
        <v>217.35840999999999</v>
      </c>
    </row>
    <row r="13" spans="1:11">
      <c r="A13" s="864" t="s">
        <v>1077</v>
      </c>
      <c r="B13" s="861">
        <v>-2.61</v>
      </c>
      <c r="C13" s="861">
        <v>0</v>
      </c>
      <c r="D13" s="861">
        <v>0</v>
      </c>
      <c r="E13" s="861"/>
      <c r="F13" s="862">
        <v>-2.61</v>
      </c>
      <c r="G13" s="857">
        <v>-0.12</v>
      </c>
      <c r="H13" s="857">
        <v>0</v>
      </c>
      <c r="I13" s="857">
        <v>0</v>
      </c>
      <c r="J13" s="857">
        <v>0</v>
      </c>
      <c r="K13" s="863">
        <v>-0.12</v>
      </c>
    </row>
    <row r="14" spans="1:11">
      <c r="A14" s="864" t="s">
        <v>1078</v>
      </c>
      <c r="B14" s="861">
        <v>-2.94</v>
      </c>
      <c r="C14" s="861">
        <v>1.6830000000000001E-2</v>
      </c>
      <c r="D14" s="861">
        <v>0</v>
      </c>
      <c r="E14" s="861"/>
      <c r="F14" s="862">
        <v>-2.9231699999999998</v>
      </c>
      <c r="G14" s="857">
        <v>4</v>
      </c>
      <c r="H14" s="857">
        <v>0</v>
      </c>
      <c r="I14" s="857">
        <v>0</v>
      </c>
      <c r="J14" s="857">
        <v>0</v>
      </c>
      <c r="K14" s="863">
        <v>4</v>
      </c>
    </row>
    <row r="15" spans="1:11">
      <c r="A15" s="856" t="s">
        <v>80</v>
      </c>
      <c r="B15" s="861">
        <v>83569.49695000003</v>
      </c>
      <c r="C15" s="861">
        <v>52121.118750000023</v>
      </c>
      <c r="D15" s="861">
        <v>0</v>
      </c>
      <c r="E15" s="861"/>
      <c r="F15" s="862">
        <v>135690.61570000005</v>
      </c>
      <c r="G15" s="857">
        <v>32968.689310000009</v>
      </c>
      <c r="H15" s="857">
        <v>25249.09299999999</v>
      </c>
      <c r="I15" s="857">
        <v>1.71</v>
      </c>
      <c r="J15" s="857">
        <v>0</v>
      </c>
      <c r="K15" s="863">
        <v>58219.492309999994</v>
      </c>
    </row>
    <row r="16" spans="1:11">
      <c r="A16" s="856" t="s">
        <v>300</v>
      </c>
      <c r="B16" s="861">
        <v>19200.815799999989</v>
      </c>
      <c r="C16" s="861">
        <v>5934.3281300000017</v>
      </c>
      <c r="D16" s="861">
        <v>87.358670000000004</v>
      </c>
      <c r="E16" s="861"/>
      <c r="F16" s="862">
        <v>25222.502599999993</v>
      </c>
      <c r="G16" s="857">
        <v>15927.407910000007</v>
      </c>
      <c r="H16" s="857">
        <v>4359.5608899999988</v>
      </c>
      <c r="I16" s="857">
        <v>0.05</v>
      </c>
      <c r="J16" s="857">
        <v>0</v>
      </c>
      <c r="K16" s="863">
        <v>20287.018800000005</v>
      </c>
    </row>
    <row r="17" spans="1:12">
      <c r="A17" s="865" t="s">
        <v>1079</v>
      </c>
      <c r="B17" s="866">
        <v>2952404.9418299994</v>
      </c>
      <c r="C17" s="866">
        <v>288717.14536000002</v>
      </c>
      <c r="D17" s="866">
        <v>2353.43469</v>
      </c>
      <c r="E17" s="866">
        <v>304323.69247999991</v>
      </c>
      <c r="F17" s="862">
        <v>3547799.2143599992</v>
      </c>
      <c r="G17" s="866">
        <v>2456035.23006</v>
      </c>
      <c r="H17" s="866">
        <v>219193.22711000001</v>
      </c>
      <c r="I17" s="866">
        <v>498.9</v>
      </c>
      <c r="J17" s="1178">
        <v>224682.36083999998</v>
      </c>
      <c r="K17" s="866">
        <v>2900409.71801</v>
      </c>
      <c r="L17" s="867"/>
    </row>
    <row r="18" spans="1:12">
      <c r="A18" s="868" t="s">
        <v>81</v>
      </c>
      <c r="B18" s="869"/>
      <c r="C18" s="870"/>
      <c r="D18" s="870"/>
      <c r="E18" s="871"/>
      <c r="F18" s="872"/>
      <c r="G18" s="872"/>
      <c r="H18" s="872"/>
      <c r="I18" s="872"/>
      <c r="J18" s="872"/>
      <c r="K18" s="872"/>
    </row>
    <row r="19" spans="1:12">
      <c r="A19" s="873" t="s">
        <v>1080</v>
      </c>
      <c r="B19" s="874"/>
      <c r="C19" s="874"/>
      <c r="D19" s="874"/>
      <c r="E19" s="874"/>
      <c r="F19" s="872"/>
      <c r="G19" s="872"/>
      <c r="H19" s="872"/>
      <c r="I19" s="872"/>
      <c r="J19" s="872"/>
      <c r="K19" s="72"/>
    </row>
    <row r="20" spans="1:12">
      <c r="A20" s="875" t="s">
        <v>1081</v>
      </c>
      <c r="B20" s="56"/>
      <c r="C20" s="56"/>
      <c r="D20" s="56"/>
      <c r="E20" s="56"/>
      <c r="F20" s="56"/>
      <c r="G20" s="56"/>
      <c r="H20" s="56"/>
      <c r="I20" s="56"/>
      <c r="J20" s="56"/>
      <c r="K20" s="56"/>
    </row>
    <row r="21" spans="1:12">
      <c r="A21" s="876" t="s">
        <v>1082</v>
      </c>
      <c r="B21" s="877"/>
      <c r="C21" s="876"/>
      <c r="D21" s="876"/>
      <c r="E21" s="876"/>
      <c r="F21" s="872"/>
      <c r="G21" s="872"/>
      <c r="H21" s="872"/>
      <c r="I21" s="872"/>
      <c r="J21" s="872"/>
      <c r="K21" s="872"/>
    </row>
    <row r="22" spans="1:12">
      <c r="A22" s="873" t="s">
        <v>1083</v>
      </c>
      <c r="B22" s="876"/>
      <c r="C22" s="876"/>
      <c r="D22" s="876"/>
      <c r="E22" s="872"/>
      <c r="F22" s="872"/>
      <c r="G22" s="872"/>
      <c r="H22" s="872"/>
      <c r="I22" s="872"/>
      <c r="J22" s="872"/>
      <c r="K22" s="872"/>
    </row>
    <row r="23" spans="1:12">
      <c r="A23" s="56"/>
      <c r="B23" s="878"/>
      <c r="C23" s="878"/>
      <c r="D23" s="878"/>
      <c r="E23" s="878"/>
      <c r="F23" s="878"/>
      <c r="G23" s="878"/>
      <c r="H23" s="878"/>
      <c r="I23" s="878"/>
      <c r="J23" s="878"/>
      <c r="K23" s="878"/>
    </row>
  </sheetData>
  <mergeCells count="3">
    <mergeCell ref="B2:F2"/>
    <mergeCell ref="G2:K2"/>
    <mergeCell ref="A5:K5"/>
  </mergeCells>
  <printOptions horizontalCentered="1"/>
  <pageMargins left="0.7" right="0.7" top="0.75" bottom="0.75" header="0.3" footer="0.3"/>
  <pageSetup paperSize="9" orientation="portrait" r:id="rId1"/>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22"/>
  <sheetViews>
    <sheetView workbookViewId="0"/>
  </sheetViews>
  <sheetFormatPr defaultColWidth="9.140625" defaultRowHeight="15"/>
  <cols>
    <col min="1" max="1" width="54.140625" style="92" customWidth="1"/>
    <col min="2" max="2" width="9.140625" style="92" bestFit="1" customWidth="1"/>
    <col min="3" max="5" width="10.28515625" style="92" bestFit="1" customWidth="1"/>
    <col min="6" max="6" width="14.42578125" style="92" customWidth="1"/>
    <col min="7" max="7" width="17.5703125" style="92" bestFit="1" customWidth="1"/>
    <col min="8" max="8" width="13.5703125" style="92" customWidth="1"/>
    <col min="9" max="9" width="12.85546875" style="92" customWidth="1"/>
    <col min="10" max="10" width="12.28515625" style="92" customWidth="1"/>
    <col min="11" max="11" width="14.7109375" style="92" bestFit="1" customWidth="1"/>
    <col min="12" max="12" width="17.5703125" style="92" bestFit="1" customWidth="1"/>
    <col min="13" max="16384" width="9.140625" style="92"/>
  </cols>
  <sheetData>
    <row r="1" spans="1:12" ht="15.75" customHeight="1">
      <c r="A1" s="561" t="s">
        <v>600</v>
      </c>
    </row>
    <row r="2" spans="1:12" s="330" customFormat="1" ht="18.75" customHeight="1">
      <c r="A2" s="1422" t="s">
        <v>601</v>
      </c>
      <c r="B2" s="1422" t="s">
        <v>602</v>
      </c>
      <c r="C2" s="1408" t="s">
        <v>603</v>
      </c>
      <c r="D2" s="1409"/>
      <c r="E2" s="1409"/>
      <c r="F2" s="1409"/>
      <c r="G2" s="1409"/>
      <c r="H2" s="1300" t="s">
        <v>604</v>
      </c>
      <c r="I2" s="1300"/>
      <c r="J2" s="1300"/>
      <c r="K2" s="1300"/>
      <c r="L2" s="1300"/>
    </row>
    <row r="3" spans="1:12" s="330" customFormat="1" ht="63.75" customHeight="1">
      <c r="A3" s="1306"/>
      <c r="B3" s="1306"/>
      <c r="C3" s="325">
        <v>45505</v>
      </c>
      <c r="D3" s="325">
        <v>45474</v>
      </c>
      <c r="E3" s="325">
        <v>45139</v>
      </c>
      <c r="F3" s="492" t="s">
        <v>739</v>
      </c>
      <c r="G3" s="729" t="s">
        <v>740</v>
      </c>
      <c r="H3" s="533">
        <v>45505</v>
      </c>
      <c r="I3" s="533">
        <v>45474</v>
      </c>
      <c r="J3" s="534">
        <v>45139</v>
      </c>
      <c r="K3" s="729" t="s">
        <v>739</v>
      </c>
      <c r="L3" s="326" t="s">
        <v>740</v>
      </c>
    </row>
    <row r="4" spans="1:12" s="330" customFormat="1" ht="18" customHeight="1">
      <c r="A4" s="730" t="s">
        <v>605</v>
      </c>
      <c r="B4" s="731" t="s">
        <v>606</v>
      </c>
      <c r="C4" s="732">
        <v>6095</v>
      </c>
      <c r="D4" s="732">
        <v>6059</v>
      </c>
      <c r="E4" s="732">
        <v>5851</v>
      </c>
      <c r="F4" s="733">
        <v>4.1702273115706721</v>
      </c>
      <c r="G4" s="733">
        <v>0.59415745172470702</v>
      </c>
      <c r="H4" s="732">
        <v>6471</v>
      </c>
      <c r="I4" s="732">
        <v>6443</v>
      </c>
      <c r="J4" s="732">
        <v>6124</v>
      </c>
      <c r="K4" s="733">
        <v>5.6662312214239057</v>
      </c>
      <c r="L4" s="733">
        <v>0.43458016451963372</v>
      </c>
    </row>
    <row r="5" spans="1:12" s="330" customFormat="1" ht="18" customHeight="1">
      <c r="A5" s="730" t="s">
        <v>607</v>
      </c>
      <c r="B5" s="731" t="s">
        <v>606</v>
      </c>
      <c r="C5" s="732">
        <v>285</v>
      </c>
      <c r="D5" s="732">
        <v>285</v>
      </c>
      <c r="E5" s="732">
        <v>282</v>
      </c>
      <c r="F5" s="733">
        <v>1.0638297872340425</v>
      </c>
      <c r="G5" s="733">
        <v>0</v>
      </c>
      <c r="H5" s="732">
        <v>569</v>
      </c>
      <c r="I5" s="732">
        <v>572</v>
      </c>
      <c r="J5" s="732">
        <v>587</v>
      </c>
      <c r="K5" s="733">
        <v>-3.0664395229982966</v>
      </c>
      <c r="L5" s="733">
        <v>-0.52447552447552448</v>
      </c>
    </row>
    <row r="6" spans="1:12" s="330" customFormat="1" ht="18" customHeight="1">
      <c r="A6" s="730" t="s">
        <v>679</v>
      </c>
      <c r="B6" s="731" t="s">
        <v>606</v>
      </c>
      <c r="C6" s="732">
        <v>5</v>
      </c>
      <c r="D6" s="732">
        <v>5</v>
      </c>
      <c r="E6" s="732">
        <v>4</v>
      </c>
      <c r="F6" s="733">
        <v>25</v>
      </c>
      <c r="G6" s="733">
        <v>0</v>
      </c>
      <c r="H6" s="732">
        <v>3</v>
      </c>
      <c r="I6" s="732">
        <v>3</v>
      </c>
      <c r="J6" s="732">
        <v>3</v>
      </c>
      <c r="K6" s="733">
        <v>0</v>
      </c>
      <c r="L6" s="733">
        <v>0</v>
      </c>
    </row>
    <row r="7" spans="1:12" s="330" customFormat="1" ht="18" customHeight="1">
      <c r="A7" s="730" t="s">
        <v>608</v>
      </c>
      <c r="B7" s="731" t="s">
        <v>609</v>
      </c>
      <c r="C7" s="37">
        <v>376.29365999999999</v>
      </c>
      <c r="D7" s="732">
        <v>372.03971000000001</v>
      </c>
      <c r="E7" s="732">
        <v>331.20785000000001</v>
      </c>
      <c r="F7" s="733">
        <v>12.328167946502477</v>
      </c>
      <c r="G7" s="733">
        <v>0</v>
      </c>
      <c r="H7" s="732">
        <v>1334.35655</v>
      </c>
      <c r="I7" s="732">
        <v>1296.33061</v>
      </c>
      <c r="J7" s="732">
        <v>935.74</v>
      </c>
      <c r="K7" s="733">
        <v>42.59907132323081</v>
      </c>
      <c r="L7" s="733">
        <v>2.9333520096389605</v>
      </c>
    </row>
    <row r="8" spans="1:12" s="330" customFormat="1" ht="18" customHeight="1">
      <c r="A8" s="730" t="s">
        <v>610</v>
      </c>
      <c r="B8" s="731" t="s">
        <v>611</v>
      </c>
      <c r="C8" s="732">
        <v>76650.406812899993</v>
      </c>
      <c r="D8" s="732">
        <v>75406.8449349</v>
      </c>
      <c r="E8" s="732">
        <v>69849.619470599995</v>
      </c>
      <c r="F8" s="733">
        <v>9.7363269747839922</v>
      </c>
      <c r="G8" s="733">
        <v>1.6491365990363092</v>
      </c>
      <c r="H8" s="732">
        <v>36989.227078099997</v>
      </c>
      <c r="I8" s="732">
        <v>36120.661392900001</v>
      </c>
      <c r="J8" s="732">
        <v>31905.25</v>
      </c>
      <c r="K8" s="733">
        <v>15.93460975262691</v>
      </c>
      <c r="L8" s="733">
        <v>2.4046228715256133</v>
      </c>
    </row>
    <row r="9" spans="1:12" s="330" customFormat="1" ht="18" customHeight="1">
      <c r="A9" s="730" t="s">
        <v>612</v>
      </c>
      <c r="B9" s="731" t="s">
        <v>613</v>
      </c>
      <c r="C9" s="734">
        <v>39421322.420208693</v>
      </c>
      <c r="D9" s="734">
        <v>39144211.457219489</v>
      </c>
      <c r="E9" s="734">
        <v>26552533.511523057</v>
      </c>
      <c r="F9" s="733">
        <v>48.465389952717473</v>
      </c>
      <c r="G9" s="733">
        <v>0.70792322203771252</v>
      </c>
      <c r="H9" s="732">
        <v>6944364.9193000002</v>
      </c>
      <c r="I9" s="732">
        <v>6920262.6282000002</v>
      </c>
      <c r="J9" s="732">
        <v>4213690.93</v>
      </c>
      <c r="K9" s="733">
        <v>64.804800225345446</v>
      </c>
      <c r="L9" s="733">
        <v>0.34828578617498474</v>
      </c>
    </row>
    <row r="10" spans="1:12" s="330" customFormat="1" ht="18" customHeight="1">
      <c r="A10" s="730" t="s">
        <v>614</v>
      </c>
      <c r="B10" s="731" t="s">
        <v>611</v>
      </c>
      <c r="C10" s="732">
        <v>88844.780931630288</v>
      </c>
      <c r="D10" s="732">
        <v>87328.492749842291</v>
      </c>
      <c r="E10" s="732">
        <v>77097.341916002086</v>
      </c>
      <c r="F10" s="733">
        <v>15.237151792375789</v>
      </c>
      <c r="G10" s="733">
        <v>1.7363040790495439</v>
      </c>
      <c r="H10" s="732">
        <v>43444.959009999999</v>
      </c>
      <c r="I10" s="732">
        <v>42288.915809999999</v>
      </c>
      <c r="J10" s="732">
        <v>36497.120000000003</v>
      </c>
      <c r="K10" s="733">
        <v>19.036677441946093</v>
      </c>
      <c r="L10" s="733">
        <v>2.7336789744007395</v>
      </c>
    </row>
    <row r="11" spans="1:12" s="330" customFormat="1" ht="18" customHeight="1">
      <c r="A11" s="730" t="s">
        <v>615</v>
      </c>
      <c r="B11" s="731" t="s">
        <v>613</v>
      </c>
      <c r="C11" s="734">
        <v>44012310.497654535</v>
      </c>
      <c r="D11" s="734">
        <v>43660439.49772501</v>
      </c>
      <c r="E11" s="734">
        <v>30577995.963843927</v>
      </c>
      <c r="F11" s="733">
        <v>43.934581421541253</v>
      </c>
      <c r="G11" s="733">
        <v>0.80592638090108937</v>
      </c>
      <c r="H11" s="732">
        <v>7450193.1679999996</v>
      </c>
      <c r="I11" s="732">
        <v>7407875.6320000002</v>
      </c>
      <c r="J11" s="732">
        <v>4547782.63</v>
      </c>
      <c r="K11" s="733">
        <v>63.820344421342753</v>
      </c>
      <c r="L11" s="733">
        <v>0.57125062706505458</v>
      </c>
    </row>
    <row r="12" spans="1:12" s="330" customFormat="1" ht="18" customHeight="1">
      <c r="A12" s="730" t="s">
        <v>616</v>
      </c>
      <c r="B12" s="731" t="s">
        <v>611</v>
      </c>
      <c r="C12" s="732">
        <v>2481.7874830000001</v>
      </c>
      <c r="D12" s="732">
        <v>2922.4367756000001</v>
      </c>
      <c r="E12" s="732">
        <v>2197.5408585999999</v>
      </c>
      <c r="F12" s="733">
        <v>12.934759473873303</v>
      </c>
      <c r="G12" s="733">
        <v>-15.078146301711906</v>
      </c>
      <c r="H12" s="732">
        <v>4324.155444</v>
      </c>
      <c r="I12" s="732">
        <v>5439.6241929999997</v>
      </c>
      <c r="J12" s="732">
        <v>3407.11</v>
      </c>
      <c r="K12" s="733">
        <v>26.915639471575613</v>
      </c>
      <c r="L12" s="733">
        <v>-20.506356862583349</v>
      </c>
    </row>
    <row r="13" spans="1:12" s="330" customFormat="1" ht="18" customHeight="1">
      <c r="A13" s="730" t="s">
        <v>684</v>
      </c>
      <c r="B13" s="731" t="s">
        <v>611</v>
      </c>
      <c r="C13" s="732">
        <v>118.18035633333332</v>
      </c>
      <c r="D13" s="732">
        <v>132.83803525454545</v>
      </c>
      <c r="E13" s="732">
        <v>104.64480279047619</v>
      </c>
      <c r="F13" s="733">
        <v>12.934759473873282</v>
      </c>
      <c r="G13" s="733">
        <v>-11.034248506555331</v>
      </c>
      <c r="H13" s="732">
        <v>205.91216399999999</v>
      </c>
      <c r="I13" s="732">
        <v>247.25564513636363</v>
      </c>
      <c r="J13" s="732">
        <v>162.24</v>
      </c>
      <c r="K13" s="733">
        <v>26.918247041420106</v>
      </c>
      <c r="L13" s="733">
        <v>-16.720945284611137</v>
      </c>
    </row>
    <row r="14" spans="1:12" s="330" customFormat="1" ht="18" customHeight="1">
      <c r="A14" s="730" t="s">
        <v>617</v>
      </c>
      <c r="B14" s="731" t="s">
        <v>613</v>
      </c>
      <c r="C14" s="732">
        <v>924790.30027681112</v>
      </c>
      <c r="D14" s="732">
        <v>1002766.1049676514</v>
      </c>
      <c r="E14" s="732">
        <v>593118.34710925806</v>
      </c>
      <c r="F14" s="733">
        <v>55.92002924611198</v>
      </c>
      <c r="G14" s="733">
        <v>-7.776071040350506</v>
      </c>
      <c r="H14" s="732">
        <v>542252.19794099999</v>
      </c>
      <c r="I14" s="732">
        <v>683889.96100899996</v>
      </c>
      <c r="J14" s="732">
        <v>317584.28999999998</v>
      </c>
      <c r="K14" s="733">
        <v>70.742764996656476</v>
      </c>
      <c r="L14" s="733">
        <v>-20.710607136129028</v>
      </c>
    </row>
    <row r="15" spans="1:12" s="330" customFormat="1" ht="18" customHeight="1">
      <c r="A15" s="730" t="s">
        <v>685</v>
      </c>
      <c r="B15" s="731" t="s">
        <v>613</v>
      </c>
      <c r="C15" s="732">
        <v>44037.633346514813</v>
      </c>
      <c r="D15" s="732">
        <v>45580.277498529606</v>
      </c>
      <c r="E15" s="732">
        <v>28243.730814726576</v>
      </c>
      <c r="F15" s="733">
        <v>55.920029246111959</v>
      </c>
      <c r="G15" s="733">
        <v>-3.3844553756052878</v>
      </c>
      <c r="H15" s="732">
        <v>25821.533235285715</v>
      </c>
      <c r="I15" s="732">
        <v>31085.907318590907</v>
      </c>
      <c r="J15" s="732">
        <v>15123.06</v>
      </c>
      <c r="K15" s="733">
        <v>70.742781125550763</v>
      </c>
      <c r="L15" s="733">
        <v>-16.934921761658977</v>
      </c>
    </row>
    <row r="16" spans="1:12" s="330" customFormat="1" ht="18" customHeight="1">
      <c r="A16" s="730" t="s">
        <v>618</v>
      </c>
      <c r="B16" s="731" t="s">
        <v>606</v>
      </c>
      <c r="C16" s="732">
        <v>0</v>
      </c>
      <c r="D16" s="732">
        <v>1</v>
      </c>
      <c r="E16" s="732">
        <v>1</v>
      </c>
      <c r="F16" s="733">
        <v>-100</v>
      </c>
      <c r="G16" s="733">
        <v>-100</v>
      </c>
      <c r="H16" s="732">
        <v>12</v>
      </c>
      <c r="I16" s="732">
        <v>39</v>
      </c>
      <c r="J16" s="732" t="s">
        <v>925</v>
      </c>
      <c r="K16" s="733" t="e">
        <v>#VALUE!</v>
      </c>
      <c r="L16" s="733">
        <v>5.8333333333329997E-2</v>
      </c>
    </row>
    <row r="17" spans="1:12" s="330" customFormat="1" ht="18" customHeight="1">
      <c r="A17" s="730" t="s">
        <v>619</v>
      </c>
      <c r="B17" s="731" t="s">
        <v>620</v>
      </c>
      <c r="C17" s="732">
        <v>85.869</v>
      </c>
      <c r="D17" s="732">
        <v>85.332899999999995</v>
      </c>
      <c r="E17" s="732">
        <v>84.897999999999996</v>
      </c>
      <c r="F17" s="733">
        <v>1.1437254116704794</v>
      </c>
      <c r="G17" s="733">
        <v>0.62824537780856471</v>
      </c>
      <c r="H17" s="732">
        <v>14.96</v>
      </c>
      <c r="I17" s="732">
        <v>15.014396163244699</v>
      </c>
      <c r="J17" s="732">
        <v>13.63</v>
      </c>
      <c r="K17" s="733">
        <v>9.7578870139398379</v>
      </c>
      <c r="L17" s="733">
        <v>-0.36229337932257533</v>
      </c>
    </row>
    <row r="18" spans="1:12" s="330" customFormat="1" ht="18" customHeight="1">
      <c r="A18" s="735"/>
      <c r="B18" s="736"/>
      <c r="C18" s="737"/>
      <c r="D18" s="737"/>
      <c r="E18" s="737"/>
      <c r="F18" s="738"/>
      <c r="G18" s="738"/>
      <c r="H18" s="332"/>
      <c r="I18" s="332"/>
      <c r="J18" s="332"/>
      <c r="K18" s="324"/>
      <c r="L18" s="324"/>
    </row>
    <row r="19" spans="1:12" s="164" customFormat="1" ht="29.25" customHeight="1">
      <c r="A19" s="1493" t="s">
        <v>621</v>
      </c>
      <c r="B19" s="1493"/>
      <c r="C19" s="1493"/>
      <c r="D19" s="1493"/>
      <c r="E19" s="1493"/>
      <c r="F19" s="1493"/>
      <c r="G19" s="1493"/>
      <c r="H19" s="1493"/>
      <c r="I19" s="1493"/>
      <c r="J19" s="1493"/>
      <c r="K19" s="1493"/>
      <c r="L19" s="1493"/>
    </row>
    <row r="20" spans="1:12" s="164" customFormat="1" ht="13.5" customHeight="1">
      <c r="A20" s="1357" t="s">
        <v>622</v>
      </c>
      <c r="B20" s="1357"/>
      <c r="C20" s="1357"/>
      <c r="D20" s="1357"/>
      <c r="E20" s="1357"/>
      <c r="F20" s="1357"/>
      <c r="G20" s="1357"/>
      <c r="H20" s="1357"/>
      <c r="I20" s="1357"/>
      <c r="J20" s="1357"/>
      <c r="K20" s="1357"/>
      <c r="L20" s="1357"/>
    </row>
    <row r="22" spans="1:12">
      <c r="K22" s="251"/>
    </row>
  </sheetData>
  <mergeCells count="6">
    <mergeCell ref="A20:L20"/>
    <mergeCell ref="A2:A3"/>
    <mergeCell ref="B2:B3"/>
    <mergeCell ref="C2:G2"/>
    <mergeCell ref="H2:L2"/>
    <mergeCell ref="A19:L19"/>
  </mergeCells>
  <printOptions horizontalCentered="1"/>
  <pageMargins left="0.78431372549019618" right="0.78431372549019618" top="0.98039215686274517" bottom="0.98039215686274517" header="0.50980392156862753" footer="0.50980392156862753"/>
  <pageSetup paperSize="9" scale="65" orientation="landscape" useFirstPageNumber="1" r:id="rId1"/>
  <headerFooter alignWithMargins="0"/>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22"/>
  <sheetViews>
    <sheetView workbookViewId="0"/>
  </sheetViews>
  <sheetFormatPr defaultColWidth="9.140625" defaultRowHeight="15"/>
  <cols>
    <col min="1" max="1" width="14.5703125" style="92" bestFit="1" customWidth="1"/>
    <col min="2" max="2" width="16.85546875" style="92" customWidth="1"/>
    <col min="3" max="5" width="14.5703125" style="92" bestFit="1" customWidth="1"/>
    <col min="6" max="6" width="14.140625" style="92" bestFit="1" customWidth="1"/>
    <col min="7" max="7" width="17.42578125" style="92" customWidth="1"/>
    <col min="8" max="9" width="14.5703125" style="92" bestFit="1" customWidth="1"/>
    <col min="10" max="10" width="14.140625" style="92" customWidth="1"/>
    <col min="11" max="11" width="19.5703125" style="92" bestFit="1" customWidth="1"/>
    <col min="12" max="12" width="4.5703125" style="92" bestFit="1" customWidth="1"/>
    <col min="13" max="16384" width="9.140625" style="92"/>
  </cols>
  <sheetData>
    <row r="1" spans="1:11" ht="16.5" customHeight="1">
      <c r="A1" s="487" t="s">
        <v>58</v>
      </c>
      <c r="B1" s="487"/>
      <c r="C1" s="487"/>
      <c r="D1" s="487"/>
      <c r="E1" s="487"/>
      <c r="F1" s="487"/>
      <c r="G1" s="487"/>
      <c r="H1" s="487"/>
      <c r="I1" s="487"/>
      <c r="J1" s="487"/>
      <c r="K1" s="487"/>
    </row>
    <row r="2" spans="1:11" s="330" customFormat="1" ht="18" customHeight="1">
      <c r="A2" s="1415" t="s">
        <v>142</v>
      </c>
      <c r="B2" s="1408" t="s">
        <v>78</v>
      </c>
      <c r="C2" s="1409"/>
      <c r="D2" s="1409"/>
      <c r="E2" s="1409"/>
      <c r="F2" s="1410"/>
      <c r="G2" s="1408" t="s">
        <v>79</v>
      </c>
      <c r="H2" s="1409"/>
      <c r="I2" s="1409"/>
      <c r="J2" s="1409"/>
      <c r="K2" s="1410"/>
    </row>
    <row r="3" spans="1:11" s="330" customFormat="1" ht="67.5" customHeight="1">
      <c r="A3" s="1329"/>
      <c r="B3" s="492" t="s">
        <v>623</v>
      </c>
      <c r="C3" s="492" t="s">
        <v>624</v>
      </c>
      <c r="D3" s="506" t="s">
        <v>625</v>
      </c>
      <c r="E3" s="506" t="s">
        <v>626</v>
      </c>
      <c r="F3" s="492" t="s">
        <v>627</v>
      </c>
      <c r="G3" s="492" t="s">
        <v>623</v>
      </c>
      <c r="H3" s="492" t="s">
        <v>624</v>
      </c>
      <c r="I3" s="506" t="s">
        <v>625</v>
      </c>
      <c r="J3" s="506" t="s">
        <v>626</v>
      </c>
      <c r="K3" s="492" t="s">
        <v>628</v>
      </c>
    </row>
    <row r="4" spans="1:11" s="330" customFormat="1" ht="30" customHeight="1">
      <c r="A4" s="679" t="s">
        <v>518</v>
      </c>
      <c r="B4" s="498">
        <v>46015</v>
      </c>
      <c r="C4" s="498">
        <v>281</v>
      </c>
      <c r="D4" s="498">
        <v>61665</v>
      </c>
      <c r="E4" s="494">
        <v>3773299.28</v>
      </c>
      <c r="F4" s="494">
        <v>42344187.609999999</v>
      </c>
      <c r="G4" s="498">
        <v>23060</v>
      </c>
      <c r="H4" s="498">
        <v>580</v>
      </c>
      <c r="I4" s="498">
        <v>17487</v>
      </c>
      <c r="J4" s="494">
        <v>661463.29700000002</v>
      </c>
      <c r="K4" s="494">
        <v>6420627.6279999996</v>
      </c>
    </row>
    <row r="5" spans="1:11" s="330" customFormat="1" ht="18" customHeight="1">
      <c r="A5" s="682" t="s">
        <v>743</v>
      </c>
      <c r="B5" s="694">
        <f t="shared" ref="B5:K5" si="0">INDEX(B6:B17,COUNTA(B6:B17))</f>
        <v>53691</v>
      </c>
      <c r="C5" s="694">
        <f t="shared" si="0"/>
        <v>285</v>
      </c>
      <c r="D5" s="694">
        <f t="shared" si="0"/>
        <v>62832</v>
      </c>
      <c r="E5" s="694">
        <f t="shared" si="0"/>
        <v>4948451.1044000005</v>
      </c>
      <c r="F5" s="694">
        <f t="shared" si="0"/>
        <v>40650203.100000001</v>
      </c>
      <c r="G5" s="694">
        <f t="shared" si="0"/>
        <v>26770</v>
      </c>
      <c r="H5" s="694">
        <f t="shared" si="0"/>
        <v>569</v>
      </c>
      <c r="I5" s="694">
        <f t="shared" si="0"/>
        <v>17696</v>
      </c>
      <c r="J5" s="694">
        <f t="shared" si="0"/>
        <v>718517.65656850196</v>
      </c>
      <c r="K5" s="694">
        <f t="shared" si="0"/>
        <v>7791717.4450000003</v>
      </c>
    </row>
    <row r="6" spans="1:11" s="330" customFormat="1" ht="18" customHeight="1">
      <c r="A6" s="174">
        <v>45412</v>
      </c>
      <c r="B6" s="328">
        <v>46792</v>
      </c>
      <c r="C6" s="328">
        <v>282</v>
      </c>
      <c r="D6" s="328">
        <v>62763</v>
      </c>
      <c r="E6" s="328">
        <v>3860905.75</v>
      </c>
      <c r="F6" s="328">
        <v>43957388.061999999</v>
      </c>
      <c r="G6" s="328">
        <v>23560</v>
      </c>
      <c r="H6" s="328">
        <v>578</v>
      </c>
      <c r="I6" s="328">
        <v>17644</v>
      </c>
      <c r="J6" s="329">
        <v>670642.35581886093</v>
      </c>
      <c r="K6" s="329">
        <v>6922743.2829000009</v>
      </c>
    </row>
    <row r="7" spans="1:11" s="330" customFormat="1" ht="18" customHeight="1">
      <c r="A7" s="174">
        <v>45443</v>
      </c>
      <c r="B7" s="328">
        <v>48397</v>
      </c>
      <c r="C7" s="328">
        <v>282</v>
      </c>
      <c r="D7" s="328">
        <v>62492</v>
      </c>
      <c r="E7" s="328">
        <v>3927366.21</v>
      </c>
      <c r="F7" s="328">
        <v>44576101.505999997</v>
      </c>
      <c r="G7" s="328">
        <v>24093</v>
      </c>
      <c r="H7" s="328">
        <v>577</v>
      </c>
      <c r="I7" s="328">
        <v>17661</v>
      </c>
      <c r="J7" s="329">
        <v>683554.59368588799</v>
      </c>
      <c r="K7" s="329">
        <v>6973608.2975000003</v>
      </c>
    </row>
    <row r="8" spans="1:11" s="330" customFormat="1" ht="18" customHeight="1">
      <c r="A8" s="174">
        <v>45473</v>
      </c>
      <c r="B8" s="328">
        <v>49661</v>
      </c>
      <c r="C8" s="328">
        <v>285</v>
      </c>
      <c r="D8" s="328">
        <v>62513</v>
      </c>
      <c r="E8" s="328">
        <v>3982690.82</v>
      </c>
      <c r="F8" s="328">
        <v>47074465.240999997</v>
      </c>
      <c r="G8" s="328">
        <v>24858</v>
      </c>
      <c r="H8" s="328">
        <v>573</v>
      </c>
      <c r="I8" s="328">
        <v>17671</v>
      </c>
      <c r="J8" s="329">
        <v>689967</v>
      </c>
      <c r="K8" s="329">
        <v>7350540</v>
      </c>
    </row>
    <row r="9" spans="1:11" s="330" customFormat="1" ht="18" customHeight="1">
      <c r="A9" s="174">
        <v>45504</v>
      </c>
      <c r="B9" s="328">
        <v>51301</v>
      </c>
      <c r="C9" s="328">
        <v>285</v>
      </c>
      <c r="D9" s="328">
        <v>62525</v>
      </c>
      <c r="E9" s="328">
        <v>4032001.16</v>
      </c>
      <c r="F9" s="328">
        <v>49073775.344999999</v>
      </c>
      <c r="G9" s="328">
        <v>25718</v>
      </c>
      <c r="H9" s="328">
        <v>572</v>
      </c>
      <c r="I9" s="328">
        <v>17683</v>
      </c>
      <c r="J9" s="329">
        <v>703105.47562186699</v>
      </c>
      <c r="K9" s="329">
        <v>7735271.7120000003</v>
      </c>
    </row>
    <row r="10" spans="1:11" s="330" customFormat="1">
      <c r="A10" s="174">
        <v>45535</v>
      </c>
      <c r="B10" s="328">
        <v>53691</v>
      </c>
      <c r="C10" s="328">
        <v>285</v>
      </c>
      <c r="D10" s="328">
        <v>62832</v>
      </c>
      <c r="E10" s="328">
        <v>4948451.1044000005</v>
      </c>
      <c r="F10" s="328">
        <v>40650203.100000001</v>
      </c>
      <c r="G10" s="328">
        <v>26770</v>
      </c>
      <c r="H10" s="328">
        <v>569</v>
      </c>
      <c r="I10" s="328">
        <v>17696</v>
      </c>
      <c r="J10" s="328">
        <v>718517.65656850196</v>
      </c>
      <c r="K10" s="328">
        <v>7791717.4450000003</v>
      </c>
    </row>
    <row r="11" spans="1:11" s="330" customFormat="1">
      <c r="A11" s="174">
        <v>45565</v>
      </c>
      <c r="B11" s="328"/>
      <c r="C11" s="328"/>
      <c r="D11" s="328"/>
      <c r="E11" s="328"/>
      <c r="F11" s="328"/>
      <c r="G11" s="328"/>
      <c r="H11" s="328"/>
      <c r="I11" s="328"/>
      <c r="J11" s="329"/>
      <c r="K11" s="329"/>
    </row>
    <row r="12" spans="1:11" s="330" customFormat="1">
      <c r="A12" s="174">
        <v>45596</v>
      </c>
      <c r="B12" s="328"/>
      <c r="C12" s="328"/>
      <c r="D12" s="328"/>
      <c r="E12" s="328"/>
      <c r="F12" s="328"/>
      <c r="G12" s="328"/>
      <c r="H12" s="328"/>
      <c r="I12" s="328"/>
      <c r="J12" s="329"/>
      <c r="K12" s="329"/>
    </row>
    <row r="13" spans="1:11" s="330" customFormat="1">
      <c r="A13" s="174">
        <v>45626</v>
      </c>
      <c r="B13" s="327"/>
      <c r="C13" s="327"/>
      <c r="D13" s="327"/>
      <c r="E13" s="327"/>
      <c r="F13" s="328"/>
      <c r="G13" s="328"/>
      <c r="H13" s="328"/>
      <c r="I13" s="328"/>
      <c r="J13" s="329"/>
      <c r="K13" s="329"/>
    </row>
    <row r="14" spans="1:11" s="330" customFormat="1" ht="18" customHeight="1">
      <c r="A14" s="174">
        <v>45657</v>
      </c>
      <c r="B14" s="327"/>
      <c r="C14" s="327"/>
      <c r="D14" s="327"/>
      <c r="E14" s="327"/>
      <c r="F14" s="328"/>
      <c r="G14" s="328"/>
      <c r="H14" s="328"/>
      <c r="I14" s="328"/>
      <c r="J14" s="329"/>
      <c r="K14" s="329"/>
    </row>
    <row r="15" spans="1:11" s="330" customFormat="1">
      <c r="A15" s="174">
        <v>45688</v>
      </c>
      <c r="B15" s="327"/>
      <c r="C15" s="327"/>
      <c r="D15" s="327"/>
      <c r="E15" s="327"/>
      <c r="F15" s="328"/>
      <c r="G15" s="328"/>
      <c r="H15" s="328"/>
      <c r="I15" s="328"/>
      <c r="J15" s="329"/>
      <c r="K15" s="329"/>
    </row>
    <row r="16" spans="1:11" s="330" customFormat="1">
      <c r="A16" s="174">
        <v>45716</v>
      </c>
      <c r="B16" s="327"/>
      <c r="C16" s="327"/>
      <c r="D16" s="327"/>
      <c r="E16" s="327"/>
      <c r="F16" s="328"/>
      <c r="G16" s="328"/>
      <c r="H16" s="328"/>
      <c r="I16" s="328"/>
      <c r="J16" s="329"/>
      <c r="K16" s="329"/>
    </row>
    <row r="17" spans="1:11" s="330" customFormat="1">
      <c r="A17" s="174">
        <v>45747</v>
      </c>
      <c r="B17" s="327"/>
      <c r="C17" s="327"/>
      <c r="D17" s="327"/>
      <c r="E17" s="327"/>
      <c r="F17" s="327"/>
      <c r="G17" s="328"/>
      <c r="H17" s="328"/>
      <c r="I17" s="328"/>
      <c r="J17" s="329"/>
      <c r="K17" s="329"/>
    </row>
    <row r="18" spans="1:11" s="330" customFormat="1">
      <c r="A18" s="743" t="str">
        <f>"$ indicates as on "&amp;TEXT(IF(COUNT(B6:B17)=1,A6,IF(COUNT(B6:B17)=2,A7,IF(COUNT(B6:B17)=3,A8,IF(COUNT(B6:B17)=4,A9,IF(COUNT(B6:B17)=5,A10,IF(COUNT(B6:B17)=6,A11,IF(COUNT(B6:B17)=7,A12,IF(COUNT(B6:B17)=8,A13,IF(COUNT(B6:B17)=9,A14,IF(COUNT(B6:B17)=10,A15,IF(COUNT(B6:B17)=11,A16,A17))))))))))),"mmmm dd, yyyy")</f>
        <v>$ indicates as on August 31, 2024</v>
      </c>
      <c r="B18" s="332"/>
      <c r="C18" s="332"/>
      <c r="D18" s="332"/>
      <c r="E18" s="332"/>
      <c r="F18" s="332"/>
      <c r="G18" s="332"/>
      <c r="H18" s="332"/>
      <c r="I18" s="332"/>
      <c r="J18" s="332"/>
      <c r="K18" s="132"/>
    </row>
    <row r="19" spans="1:11" s="330" customFormat="1">
      <c r="A19" s="1494" t="s">
        <v>629</v>
      </c>
      <c r="B19" s="1495"/>
      <c r="C19" s="1495"/>
      <c r="D19" s="1495"/>
      <c r="E19" s="1495"/>
      <c r="F19" s="1495"/>
      <c r="G19" s="1495"/>
      <c r="H19" s="1495"/>
      <c r="I19" s="1495"/>
      <c r="J19" s="1495"/>
      <c r="K19" s="1495"/>
    </row>
    <row r="20" spans="1:11" s="330" customFormat="1" ht="15" customHeight="1">
      <c r="A20" s="561" t="s">
        <v>622</v>
      </c>
      <c r="B20" s="561"/>
      <c r="C20" s="561"/>
      <c r="D20" s="570"/>
      <c r="E20" s="570"/>
      <c r="F20" s="570"/>
      <c r="G20" s="570"/>
      <c r="H20" s="570"/>
    </row>
    <row r="21" spans="1:11" s="330" customFormat="1">
      <c r="A21" s="419"/>
      <c r="D21" s="561"/>
      <c r="E21" s="561"/>
      <c r="F21" s="561"/>
    </row>
    <row r="22" spans="1:11" s="330" customFormat="1">
      <c r="A22" s="92"/>
      <c r="B22" s="92"/>
      <c r="C22" s="92"/>
      <c r="G22" s="92"/>
      <c r="H22" s="92"/>
    </row>
  </sheetData>
  <mergeCells count="4">
    <mergeCell ref="A2:A3"/>
    <mergeCell ref="B2:F2"/>
    <mergeCell ref="G2:K2"/>
    <mergeCell ref="A19:K19"/>
  </mergeCells>
  <printOptions horizontalCentered="1"/>
  <pageMargins left="0.78431372549019618" right="0.78431372549019618" top="0.98039215686274517" bottom="0.98039215686274517" header="0.50980392156862753" footer="0.50980392156862753"/>
  <pageSetup paperSize="9" scale="76" orientation="landscape" useFirstPageNumber="1" r:id="rId1"/>
  <headerFooter alignWithMargins="0"/>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20"/>
  <sheetViews>
    <sheetView workbookViewId="0"/>
  </sheetViews>
  <sheetFormatPr defaultColWidth="9.140625" defaultRowHeight="15"/>
  <cols>
    <col min="1" max="1" width="51" style="92" bestFit="1" customWidth="1"/>
    <col min="2" max="2" width="10.140625" style="92" bestFit="1" customWidth="1"/>
    <col min="3" max="4" width="8.85546875" style="92" bestFit="1" customWidth="1"/>
    <col min="5" max="5" width="10.28515625" style="92" bestFit="1" customWidth="1"/>
    <col min="6" max="6" width="12.7109375" style="92" customWidth="1"/>
    <col min="7" max="7" width="8.7109375" style="92" customWidth="1"/>
    <col min="8" max="8" width="11" style="92" customWidth="1"/>
    <col min="9" max="9" width="10.28515625" style="92" bestFit="1" customWidth="1"/>
    <col min="10" max="10" width="14.85546875" style="92" customWidth="1"/>
    <col min="11" max="11" width="10.28515625" style="92" bestFit="1" customWidth="1"/>
    <col min="12" max="16384" width="9.140625" style="92"/>
  </cols>
  <sheetData>
    <row r="1" spans="1:11" ht="15.75" customHeight="1">
      <c r="A1" s="569" t="s">
        <v>1389</v>
      </c>
    </row>
    <row r="2" spans="1:11" s="330" customFormat="1" ht="18" customHeight="1">
      <c r="A2" s="1415" t="s">
        <v>630</v>
      </c>
      <c r="B2" s="1415" t="s">
        <v>602</v>
      </c>
      <c r="C2" s="1408" t="s">
        <v>140</v>
      </c>
      <c r="D2" s="1410"/>
      <c r="E2" s="1408" t="s">
        <v>631</v>
      </c>
      <c r="F2" s="1410"/>
      <c r="G2" s="1408" t="s">
        <v>300</v>
      </c>
      <c r="H2" s="1410"/>
      <c r="I2" s="1408" t="s">
        <v>96</v>
      </c>
      <c r="J2" s="1410"/>
    </row>
    <row r="3" spans="1:11" s="330" customFormat="1" ht="16.5" customHeight="1">
      <c r="A3" s="1329"/>
      <c r="B3" s="1329"/>
      <c r="C3" s="507" t="s">
        <v>139</v>
      </c>
      <c r="D3" s="507" t="s">
        <v>632</v>
      </c>
      <c r="E3" s="507" t="s">
        <v>139</v>
      </c>
      <c r="F3" s="507" t="s">
        <v>632</v>
      </c>
      <c r="G3" s="507" t="s">
        <v>139</v>
      </c>
      <c r="H3" s="507" t="s">
        <v>632</v>
      </c>
      <c r="I3" s="507" t="s">
        <v>139</v>
      </c>
      <c r="J3" s="507" t="s">
        <v>632</v>
      </c>
    </row>
    <row r="4" spans="1:11" s="330" customFormat="1" ht="18" customHeight="1">
      <c r="A4" s="1408" t="s">
        <v>78</v>
      </c>
      <c r="B4" s="1409"/>
      <c r="C4" s="1409"/>
      <c r="D4" s="1409"/>
      <c r="E4" s="1409"/>
      <c r="F4" s="1409"/>
      <c r="G4" s="1409"/>
      <c r="H4" s="1409"/>
      <c r="I4" s="1409"/>
      <c r="J4" s="1410"/>
    </row>
    <row r="5" spans="1:11" s="330" customFormat="1" ht="27" customHeight="1">
      <c r="A5" s="739" t="s">
        <v>633</v>
      </c>
      <c r="B5" s="740" t="s">
        <v>634</v>
      </c>
      <c r="C5" s="732">
        <v>805</v>
      </c>
      <c r="D5" s="732">
        <v>3526</v>
      </c>
      <c r="E5" s="732">
        <v>6095</v>
      </c>
      <c r="F5" s="732">
        <v>42500</v>
      </c>
      <c r="G5" s="732">
        <v>413</v>
      </c>
      <c r="H5" s="732">
        <v>8013</v>
      </c>
      <c r="I5" s="741">
        <v>7313</v>
      </c>
      <c r="J5" s="741">
        <v>54039</v>
      </c>
    </row>
    <row r="6" spans="1:11" s="330" customFormat="1">
      <c r="A6" s="739" t="s">
        <v>635</v>
      </c>
      <c r="B6" s="740" t="s">
        <v>634</v>
      </c>
      <c r="C6" s="732">
        <v>8492</v>
      </c>
      <c r="D6" s="732">
        <v>15805</v>
      </c>
      <c r="E6" s="732">
        <v>6342</v>
      </c>
      <c r="F6" s="732">
        <v>51608</v>
      </c>
      <c r="G6" s="732">
        <v>2794</v>
      </c>
      <c r="H6" s="732">
        <v>61316</v>
      </c>
      <c r="I6" s="741">
        <v>17628</v>
      </c>
      <c r="J6" s="741">
        <v>128729</v>
      </c>
    </row>
    <row r="7" spans="1:11" s="330" customFormat="1">
      <c r="A7" s="739" t="s">
        <v>636</v>
      </c>
      <c r="B7" s="740" t="s">
        <v>637</v>
      </c>
      <c r="C7" s="504">
        <v>99040.990040000004</v>
      </c>
      <c r="D7" s="504">
        <v>2937001.7865399998</v>
      </c>
      <c r="E7" s="504">
        <v>7665040.6812899997</v>
      </c>
      <c r="F7" s="734">
        <v>18458350.164969999</v>
      </c>
      <c r="G7" s="504">
        <v>1120396.4218330288</v>
      </c>
      <c r="H7" s="504">
        <v>10370367.720478157</v>
      </c>
      <c r="I7" s="741">
        <v>8884478.0931630284</v>
      </c>
      <c r="J7" s="741">
        <v>31765719.671988152</v>
      </c>
      <c r="K7" s="104"/>
    </row>
    <row r="8" spans="1:11" s="330" customFormat="1">
      <c r="A8" s="739" t="s">
        <v>638</v>
      </c>
      <c r="B8" s="740" t="s">
        <v>639</v>
      </c>
      <c r="C8" s="504">
        <v>3307928.8584617614</v>
      </c>
      <c r="D8" s="504">
        <v>1476666.9690080171</v>
      </c>
      <c r="E8" s="734">
        <v>39421322.420208693</v>
      </c>
      <c r="F8" s="504">
        <v>1725895.825817477</v>
      </c>
      <c r="G8" s="504">
        <v>1283059.2189840821</v>
      </c>
      <c r="H8" s="504">
        <v>2269637.7505975859</v>
      </c>
      <c r="I8" s="741">
        <v>44012310.497654535</v>
      </c>
      <c r="J8" s="741">
        <v>5472200.5454230802</v>
      </c>
    </row>
    <row r="9" spans="1:11" s="330" customFormat="1">
      <c r="A9" s="739" t="s">
        <v>640</v>
      </c>
      <c r="B9" s="740" t="s">
        <v>641</v>
      </c>
      <c r="C9" s="732">
        <v>627.84641999999997</v>
      </c>
      <c r="D9" s="732">
        <v>13574.51554</v>
      </c>
      <c r="E9" s="504">
        <v>248178.74830000001</v>
      </c>
      <c r="F9" s="742">
        <v>69.723339999999993</v>
      </c>
      <c r="G9" s="742">
        <v>15129.68228021</v>
      </c>
      <c r="H9" s="742">
        <v>1017.12363</v>
      </c>
      <c r="I9" s="741">
        <v>263936.27700021002</v>
      </c>
      <c r="J9" s="741">
        <v>14661.362510000001</v>
      </c>
      <c r="K9" s="158"/>
    </row>
    <row r="10" spans="1:11" s="330" customFormat="1">
      <c r="A10" s="739" t="s">
        <v>642</v>
      </c>
      <c r="B10" s="740" t="s">
        <v>643</v>
      </c>
      <c r="C10" s="732">
        <v>122278.8197731</v>
      </c>
      <c r="D10" s="732">
        <v>34479.873718000003</v>
      </c>
      <c r="E10" s="504">
        <v>924790.30027681112</v>
      </c>
      <c r="F10" s="732">
        <v>700.06750120799984</v>
      </c>
      <c r="G10" s="732">
        <v>20277.04552038098</v>
      </c>
      <c r="H10" s="732">
        <v>488.35401550999984</v>
      </c>
      <c r="I10" s="741">
        <v>1067346.1655702922</v>
      </c>
      <c r="J10" s="741">
        <v>35668.295234717996</v>
      </c>
      <c r="K10" s="158"/>
    </row>
    <row r="11" spans="1:11" s="330" customFormat="1" ht="18" customHeight="1">
      <c r="A11" s="1408" t="s">
        <v>79</v>
      </c>
      <c r="B11" s="1409"/>
      <c r="C11" s="1409"/>
      <c r="D11" s="1409"/>
      <c r="E11" s="1409"/>
      <c r="F11" s="1409"/>
      <c r="G11" s="1409"/>
      <c r="H11" s="1409"/>
      <c r="I11" s="1409"/>
      <c r="J11" s="1410"/>
    </row>
    <row r="12" spans="1:11" s="330" customFormat="1" ht="27" customHeight="1">
      <c r="A12" s="739" t="s">
        <v>644</v>
      </c>
      <c r="B12" s="740" t="s">
        <v>634</v>
      </c>
      <c r="C12" s="732">
        <v>676</v>
      </c>
      <c r="D12" s="732">
        <v>857</v>
      </c>
      <c r="E12" s="732">
        <v>6471</v>
      </c>
      <c r="F12" s="732">
        <v>17324</v>
      </c>
      <c r="G12" s="732">
        <v>2625</v>
      </c>
      <c r="H12" s="732">
        <v>2309</v>
      </c>
      <c r="I12" s="741">
        <v>9772</v>
      </c>
      <c r="J12" s="741">
        <v>20490</v>
      </c>
    </row>
    <row r="13" spans="1:11" s="330" customFormat="1">
      <c r="A13" s="739" t="s">
        <v>645</v>
      </c>
      <c r="B13" s="740" t="s">
        <v>634</v>
      </c>
      <c r="C13" s="732">
        <v>7038</v>
      </c>
      <c r="D13" s="732">
        <v>7711</v>
      </c>
      <c r="E13" s="732">
        <v>6671</v>
      </c>
      <c r="F13" s="732">
        <v>17822</v>
      </c>
      <c r="G13" s="732">
        <v>22047</v>
      </c>
      <c r="H13" s="732">
        <v>21988</v>
      </c>
      <c r="I13" s="741">
        <v>35756</v>
      </c>
      <c r="J13" s="741">
        <v>47521</v>
      </c>
    </row>
    <row r="14" spans="1:11" s="330" customFormat="1">
      <c r="A14" s="739" t="s">
        <v>636</v>
      </c>
      <c r="B14" s="740" t="s">
        <v>646</v>
      </c>
      <c r="C14" s="732">
        <v>4334.5361899999998</v>
      </c>
      <c r="D14" s="504">
        <v>196199.77069999999</v>
      </c>
      <c r="E14" s="504">
        <v>3698922.7080000001</v>
      </c>
      <c r="F14" s="504">
        <v>2257687.8659999999</v>
      </c>
      <c r="G14" s="504">
        <v>641238.65729999996</v>
      </c>
      <c r="H14" s="504">
        <v>386793.02720000001</v>
      </c>
      <c r="I14" s="741">
        <v>4344495.9009999996</v>
      </c>
      <c r="J14" s="741">
        <v>2840680.6639999999</v>
      </c>
      <c r="K14" s="104"/>
    </row>
    <row r="15" spans="1:11" s="330" customFormat="1">
      <c r="A15" s="739" t="s">
        <v>638</v>
      </c>
      <c r="B15" s="740" t="s">
        <v>647</v>
      </c>
      <c r="C15" s="732">
        <v>78223.594800000006</v>
      </c>
      <c r="D15" s="732">
        <v>72881.186799999996</v>
      </c>
      <c r="E15" s="504">
        <v>6944364.9189999998</v>
      </c>
      <c r="F15" s="504">
        <v>177110.0251</v>
      </c>
      <c r="G15" s="504">
        <v>427604.65399999998</v>
      </c>
      <c r="H15" s="732">
        <v>91533.064499999993</v>
      </c>
      <c r="I15" s="741">
        <v>7450193.1679999996</v>
      </c>
      <c r="J15" s="741">
        <v>341524.27639999997</v>
      </c>
    </row>
    <row r="16" spans="1:11" s="330" customFormat="1">
      <c r="A16" s="739" t="s">
        <v>648</v>
      </c>
      <c r="B16" s="740" t="s">
        <v>646</v>
      </c>
      <c r="C16" s="732">
        <v>72.211879999999994</v>
      </c>
      <c r="D16" s="732">
        <v>0</v>
      </c>
      <c r="E16" s="504">
        <v>432415.32640000002</v>
      </c>
      <c r="F16" s="732">
        <v>0</v>
      </c>
      <c r="G16" s="732">
        <v>76545.045370000007</v>
      </c>
      <c r="H16" s="732">
        <v>0</v>
      </c>
      <c r="I16" s="741">
        <v>509032.58360000001</v>
      </c>
      <c r="J16" s="741">
        <v>0</v>
      </c>
    </row>
    <row r="17" spans="1:10" s="330" customFormat="1">
      <c r="A17" s="739" t="s">
        <v>642</v>
      </c>
      <c r="B17" s="740" t="s">
        <v>647</v>
      </c>
      <c r="C17" s="732">
        <v>273.94282829999997</v>
      </c>
      <c r="D17" s="732">
        <v>0</v>
      </c>
      <c r="E17" s="504">
        <v>542252.17709999997</v>
      </c>
      <c r="F17" s="732">
        <v>0</v>
      </c>
      <c r="G17" s="732">
        <v>50724.085959999997</v>
      </c>
      <c r="H17" s="732">
        <v>0</v>
      </c>
      <c r="I17" s="741">
        <v>593250.20589999994</v>
      </c>
      <c r="J17" s="741">
        <v>0</v>
      </c>
    </row>
    <row r="18" spans="1:10" s="330" customFormat="1">
      <c r="A18" s="566"/>
      <c r="B18" s="334"/>
      <c r="C18" s="332"/>
      <c r="D18" s="332"/>
      <c r="E18" s="333"/>
      <c r="F18" s="332"/>
      <c r="G18" s="332"/>
      <c r="H18" s="332"/>
      <c r="I18" s="333"/>
      <c r="J18" s="332"/>
    </row>
    <row r="19" spans="1:10" s="330" customFormat="1" ht="33" customHeight="1">
      <c r="A19" s="1496" t="s">
        <v>649</v>
      </c>
      <c r="B19" s="1496"/>
      <c r="C19" s="1496"/>
      <c r="D19" s="1496"/>
      <c r="E19" s="1496"/>
      <c r="F19" s="1496"/>
      <c r="G19" s="1496"/>
      <c r="H19" s="1496"/>
      <c r="I19" s="1496"/>
      <c r="J19" s="1496"/>
    </row>
    <row r="20" spans="1:10" s="330" customFormat="1" ht="13.5" customHeight="1">
      <c r="A20" s="1322" t="s">
        <v>622</v>
      </c>
      <c r="B20" s="1322"/>
      <c r="C20" s="1322"/>
      <c r="D20" s="1322"/>
      <c r="E20" s="1322"/>
      <c r="F20" s="1322"/>
      <c r="G20" s="1322"/>
      <c r="H20" s="1322"/>
      <c r="I20" s="1322"/>
      <c r="J20" s="1322"/>
    </row>
  </sheetData>
  <mergeCells count="10">
    <mergeCell ref="A4:J4"/>
    <mergeCell ref="A11:J11"/>
    <mergeCell ref="A19:J19"/>
    <mergeCell ref="A20:J20"/>
    <mergeCell ref="A2:A3"/>
    <mergeCell ref="B2:B3"/>
    <mergeCell ref="C2:D2"/>
    <mergeCell ref="E2:F2"/>
    <mergeCell ref="G2:H2"/>
    <mergeCell ref="I2:J2"/>
  </mergeCells>
  <printOptions horizontalCentered="1"/>
  <pageMargins left="0.78431372549019618" right="0.78431372549019618" top="0.98039215686274517" bottom="0.98039215686274517" header="0.50980392156862753" footer="0.50980392156862753"/>
  <pageSetup paperSize="9" scale="82" orientation="landscape" useFirstPageNumber="1" r:id="rId1"/>
  <headerFooter alignWithMargins="0"/>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W32"/>
  <sheetViews>
    <sheetView workbookViewId="0">
      <selection sqref="A1:L1"/>
    </sheetView>
  </sheetViews>
  <sheetFormatPr defaultColWidth="9.140625" defaultRowHeight="12.75"/>
  <cols>
    <col min="1" max="1" width="11" style="880" customWidth="1"/>
    <col min="2" max="2" width="20.28515625" style="880" bestFit="1" customWidth="1"/>
    <col min="3" max="3" width="12.7109375" style="880" customWidth="1"/>
    <col min="4" max="4" width="26" style="880" customWidth="1"/>
    <col min="5" max="6" width="9.7109375" style="880" customWidth="1"/>
    <col min="7" max="7" width="18.42578125" style="880" customWidth="1"/>
    <col min="8" max="8" width="9.140625" style="880" customWidth="1"/>
    <col min="9" max="9" width="12.7109375" style="880" customWidth="1"/>
    <col min="10" max="10" width="26" style="880" customWidth="1"/>
    <col min="11" max="12" width="9.7109375" style="880" customWidth="1"/>
    <col min="13" max="16384" width="9.140625" style="880"/>
  </cols>
  <sheetData>
    <row r="1" spans="1:13" ht="15">
      <c r="A1" s="1500" t="s">
        <v>1395</v>
      </c>
      <c r="B1" s="1501"/>
      <c r="C1" s="1501"/>
      <c r="D1" s="1501"/>
      <c r="E1" s="1501"/>
      <c r="F1" s="1501"/>
      <c r="G1" s="1501"/>
      <c r="H1" s="1501"/>
      <c r="I1" s="1501"/>
      <c r="J1" s="1501"/>
      <c r="K1" s="1501"/>
      <c r="L1" s="1501"/>
      <c r="M1" s="879"/>
    </row>
    <row r="2" spans="1:13" ht="15" customHeight="1">
      <c r="A2" s="1502" t="s">
        <v>1084</v>
      </c>
      <c r="B2" s="1502" t="s">
        <v>1085</v>
      </c>
      <c r="C2" s="1503" t="s">
        <v>1086</v>
      </c>
      <c r="D2" s="1503"/>
      <c r="E2" s="1503"/>
      <c r="F2" s="1503"/>
      <c r="G2" s="1503"/>
      <c r="H2" s="1503"/>
      <c r="I2" s="1503" t="s">
        <v>1087</v>
      </c>
      <c r="J2" s="1503"/>
      <c r="K2" s="1503"/>
      <c r="L2" s="1503"/>
    </row>
    <row r="3" spans="1:13" ht="15">
      <c r="A3" s="1502"/>
      <c r="B3" s="1502"/>
      <c r="C3" s="881" t="s">
        <v>1088</v>
      </c>
      <c r="D3" s="881" t="s">
        <v>1089</v>
      </c>
      <c r="E3" s="881" t="s">
        <v>1090</v>
      </c>
      <c r="F3" s="881" t="s">
        <v>1091</v>
      </c>
      <c r="G3" s="881" t="s">
        <v>1092</v>
      </c>
      <c r="H3" s="881" t="s">
        <v>1093</v>
      </c>
      <c r="I3" s="881" t="s">
        <v>1088</v>
      </c>
      <c r="J3" s="881" t="s">
        <v>1089</v>
      </c>
      <c r="K3" s="881" t="s">
        <v>1090</v>
      </c>
      <c r="L3" s="881" t="s">
        <v>1091</v>
      </c>
    </row>
    <row r="4" spans="1:13" ht="15">
      <c r="A4" s="881" t="s">
        <v>1094</v>
      </c>
      <c r="B4" s="882" t="s">
        <v>1095</v>
      </c>
      <c r="C4" s="883">
        <v>19</v>
      </c>
      <c r="D4" s="884">
        <v>1</v>
      </c>
      <c r="E4" s="884">
        <v>0</v>
      </c>
      <c r="F4" s="884">
        <v>0</v>
      </c>
      <c r="G4" s="884">
        <v>0</v>
      </c>
      <c r="H4" s="884">
        <v>0</v>
      </c>
      <c r="I4" s="884">
        <v>1</v>
      </c>
      <c r="J4" s="884">
        <v>0</v>
      </c>
      <c r="K4" s="884">
        <v>0</v>
      </c>
      <c r="L4" s="885">
        <v>0</v>
      </c>
      <c r="M4" s="886"/>
    </row>
    <row r="5" spans="1:13" ht="15">
      <c r="A5" s="881"/>
      <c r="B5" s="882" t="s">
        <v>1096</v>
      </c>
      <c r="C5" s="883">
        <v>17</v>
      </c>
      <c r="D5" s="884">
        <v>1</v>
      </c>
      <c r="E5" s="884">
        <v>0</v>
      </c>
      <c r="F5" s="884">
        <v>0</v>
      </c>
      <c r="G5" s="884">
        <v>0</v>
      </c>
      <c r="H5" s="884">
        <v>0</v>
      </c>
      <c r="I5" s="884">
        <v>1</v>
      </c>
      <c r="J5" s="884">
        <v>0</v>
      </c>
      <c r="K5" s="884">
        <v>0</v>
      </c>
      <c r="L5" s="885">
        <v>0</v>
      </c>
      <c r="M5" s="886"/>
    </row>
    <row r="6" spans="1:13" ht="15">
      <c r="A6" s="881"/>
      <c r="B6" s="882" t="s">
        <v>1097</v>
      </c>
      <c r="C6" s="883">
        <v>9</v>
      </c>
      <c r="D6" s="884">
        <v>0</v>
      </c>
      <c r="E6" s="884">
        <v>0</v>
      </c>
      <c r="F6" s="884">
        <v>0</v>
      </c>
      <c r="G6" s="884">
        <v>0</v>
      </c>
      <c r="H6" s="884">
        <v>0</v>
      </c>
      <c r="I6" s="884">
        <v>0</v>
      </c>
      <c r="J6" s="884">
        <v>0</v>
      </c>
      <c r="K6" s="884">
        <v>0</v>
      </c>
      <c r="L6" s="885">
        <v>0</v>
      </c>
      <c r="M6" s="886"/>
    </row>
    <row r="7" spans="1:13" ht="15">
      <c r="A7" s="881" t="s">
        <v>1098</v>
      </c>
      <c r="B7" s="882" t="s">
        <v>1095</v>
      </c>
      <c r="C7" s="887">
        <v>5</v>
      </c>
      <c r="D7" s="887">
        <v>6</v>
      </c>
      <c r="E7" s="887">
        <v>2</v>
      </c>
      <c r="F7" s="887">
        <v>2</v>
      </c>
      <c r="G7" s="887">
        <v>0</v>
      </c>
      <c r="H7" s="887">
        <v>2</v>
      </c>
      <c r="I7" s="887">
        <v>0</v>
      </c>
      <c r="J7" s="887">
        <v>2</v>
      </c>
      <c r="K7" s="887">
        <v>2</v>
      </c>
      <c r="L7" s="887">
        <v>2</v>
      </c>
    </row>
    <row r="8" spans="1:13" ht="15">
      <c r="A8" s="881"/>
      <c r="B8" s="882" t="s">
        <v>1096</v>
      </c>
      <c r="C8" s="887">
        <v>3</v>
      </c>
      <c r="D8" s="887">
        <v>6</v>
      </c>
      <c r="E8" s="887">
        <v>2</v>
      </c>
      <c r="F8" s="887">
        <v>2</v>
      </c>
      <c r="G8" s="887">
        <v>0</v>
      </c>
      <c r="H8" s="887">
        <v>2</v>
      </c>
      <c r="I8" s="887">
        <v>0</v>
      </c>
      <c r="J8" s="887">
        <v>2</v>
      </c>
      <c r="K8" s="887">
        <v>2</v>
      </c>
      <c r="L8" s="887">
        <v>2</v>
      </c>
    </row>
    <row r="9" spans="1:13" ht="15">
      <c r="A9" s="881"/>
      <c r="B9" s="882" t="s">
        <v>1097</v>
      </c>
      <c r="C9" s="887">
        <v>2</v>
      </c>
      <c r="D9" s="887">
        <v>4</v>
      </c>
      <c r="E9" s="887">
        <v>2</v>
      </c>
      <c r="F9" s="887">
        <v>2</v>
      </c>
      <c r="G9" s="887">
        <v>0</v>
      </c>
      <c r="H9" s="887">
        <v>1</v>
      </c>
      <c r="I9" s="887">
        <v>0</v>
      </c>
      <c r="J9" s="887">
        <v>2</v>
      </c>
      <c r="K9" s="887">
        <v>2</v>
      </c>
      <c r="L9" s="887">
        <v>2</v>
      </c>
    </row>
    <row r="10" spans="1:13" ht="15">
      <c r="A10" s="881" t="s">
        <v>1099</v>
      </c>
      <c r="B10" s="882" t="s">
        <v>1095</v>
      </c>
      <c r="C10" s="887">
        <v>1</v>
      </c>
      <c r="D10" s="887">
        <v>3</v>
      </c>
      <c r="E10" s="887">
        <v>2</v>
      </c>
      <c r="F10" s="887">
        <v>2</v>
      </c>
      <c r="G10" s="887" t="s">
        <v>235</v>
      </c>
      <c r="H10" s="887" t="s">
        <v>235</v>
      </c>
      <c r="I10" s="887" t="s">
        <v>235</v>
      </c>
      <c r="J10" s="887" t="s">
        <v>235</v>
      </c>
      <c r="K10" s="887">
        <v>2</v>
      </c>
      <c r="L10" s="887">
        <v>2</v>
      </c>
    </row>
    <row r="11" spans="1:13" ht="15">
      <c r="A11" s="881"/>
      <c r="B11" s="882" t="s">
        <v>1096</v>
      </c>
      <c r="C11" s="887">
        <v>1</v>
      </c>
      <c r="D11" s="887">
        <v>1</v>
      </c>
      <c r="E11" s="887">
        <v>2</v>
      </c>
      <c r="F11" s="887">
        <v>2</v>
      </c>
      <c r="G11" s="887" t="s">
        <v>235</v>
      </c>
      <c r="H11" s="887" t="s">
        <v>235</v>
      </c>
      <c r="I11" s="887">
        <v>0</v>
      </c>
      <c r="J11" s="887">
        <v>0</v>
      </c>
      <c r="K11" s="887">
        <v>2</v>
      </c>
      <c r="L11" s="887">
        <v>2</v>
      </c>
    </row>
    <row r="12" spans="1:13" ht="15">
      <c r="A12" s="881"/>
      <c r="B12" s="882" t="s">
        <v>1097</v>
      </c>
      <c r="C12" s="887">
        <v>0</v>
      </c>
      <c r="D12" s="887">
        <v>0</v>
      </c>
      <c r="E12" s="887">
        <v>1</v>
      </c>
      <c r="F12" s="887">
        <v>0</v>
      </c>
      <c r="G12" s="887" t="s">
        <v>235</v>
      </c>
      <c r="H12" s="887" t="s">
        <v>235</v>
      </c>
      <c r="I12" s="887">
        <v>0</v>
      </c>
      <c r="J12" s="887">
        <v>0</v>
      </c>
      <c r="K12" s="887">
        <v>1</v>
      </c>
      <c r="L12" s="887">
        <v>0</v>
      </c>
    </row>
    <row r="13" spans="1:13" ht="15">
      <c r="A13" s="881" t="s">
        <v>1100</v>
      </c>
      <c r="B13" s="882" t="s">
        <v>1095</v>
      </c>
      <c r="C13" s="888">
        <v>0</v>
      </c>
      <c r="D13" s="888">
        <v>5</v>
      </c>
      <c r="E13" s="888">
        <v>2</v>
      </c>
      <c r="F13" s="888">
        <v>2</v>
      </c>
      <c r="G13" s="888">
        <v>0</v>
      </c>
      <c r="H13" s="888" t="s">
        <v>223</v>
      </c>
      <c r="I13" s="888">
        <v>0</v>
      </c>
      <c r="J13" s="888">
        <v>2</v>
      </c>
      <c r="K13" s="888">
        <v>2</v>
      </c>
      <c r="L13" s="888">
        <v>2</v>
      </c>
    </row>
    <row r="14" spans="1:13" ht="15">
      <c r="A14" s="881"/>
      <c r="B14" s="882" t="s">
        <v>1096</v>
      </c>
      <c r="C14" s="888">
        <v>0</v>
      </c>
      <c r="D14" s="888">
        <v>5</v>
      </c>
      <c r="E14" s="888">
        <v>2</v>
      </c>
      <c r="F14" s="888">
        <v>2</v>
      </c>
      <c r="G14" s="888">
        <v>0</v>
      </c>
      <c r="H14" s="888" t="s">
        <v>223</v>
      </c>
      <c r="I14" s="888">
        <v>0</v>
      </c>
      <c r="J14" s="888">
        <v>2</v>
      </c>
      <c r="K14" s="888">
        <v>2</v>
      </c>
      <c r="L14" s="888">
        <v>2</v>
      </c>
    </row>
    <row r="15" spans="1:13" ht="15">
      <c r="A15" s="881"/>
      <c r="B15" s="882" t="s">
        <v>1097</v>
      </c>
      <c r="C15" s="888">
        <v>0</v>
      </c>
      <c r="D15" s="888">
        <v>0</v>
      </c>
      <c r="E15" s="888">
        <v>1</v>
      </c>
      <c r="F15" s="888">
        <v>2</v>
      </c>
      <c r="G15" s="888">
        <v>0</v>
      </c>
      <c r="H15" s="888" t="s">
        <v>223</v>
      </c>
      <c r="I15" s="888">
        <v>0</v>
      </c>
      <c r="J15" s="888">
        <v>0</v>
      </c>
      <c r="K15" s="888">
        <v>1</v>
      </c>
      <c r="L15" s="888">
        <v>2</v>
      </c>
    </row>
    <row r="16" spans="1:13" ht="15">
      <c r="A16" s="1504" t="s">
        <v>1101</v>
      </c>
      <c r="B16" s="1504"/>
      <c r="C16" s="1504"/>
      <c r="D16" s="1504"/>
      <c r="E16" s="1504"/>
      <c r="F16" s="1504"/>
      <c r="G16" s="889"/>
      <c r="H16" s="889"/>
      <c r="I16" s="889"/>
      <c r="J16" s="889"/>
      <c r="K16" s="889"/>
      <c r="L16" s="889"/>
    </row>
    <row r="17" spans="1:23" ht="15">
      <c r="A17" s="1497" t="s">
        <v>1102</v>
      </c>
      <c r="B17" s="1497"/>
      <c r="C17" s="1497"/>
      <c r="D17" s="1497"/>
      <c r="E17" s="1497"/>
      <c r="F17" s="890"/>
      <c r="G17" s="448"/>
      <c r="H17" s="448"/>
      <c r="I17" s="448"/>
      <c r="J17" s="448"/>
      <c r="K17" s="448"/>
      <c r="L17" s="448"/>
    </row>
    <row r="18" spans="1:23" ht="15">
      <c r="A18" s="1498" t="s">
        <v>1103</v>
      </c>
      <c r="B18" s="1499"/>
      <c r="C18" s="1499"/>
      <c r="D18" s="1499"/>
      <c r="E18" s="891"/>
      <c r="F18" s="891"/>
      <c r="G18" s="448"/>
      <c r="H18" s="448"/>
      <c r="I18" s="448"/>
      <c r="J18" s="448"/>
      <c r="K18" s="448"/>
      <c r="L18" s="448"/>
    </row>
    <row r="19" spans="1:23" ht="15" customHeight="1">
      <c r="B19" s="892"/>
      <c r="C19" s="892"/>
      <c r="D19" s="892"/>
      <c r="E19" s="892"/>
      <c r="F19" s="892"/>
      <c r="N19" s="886"/>
      <c r="O19" s="886"/>
      <c r="P19" s="886"/>
      <c r="Q19" s="886"/>
      <c r="R19" s="886"/>
      <c r="S19" s="886"/>
      <c r="T19" s="886"/>
      <c r="U19" s="886"/>
      <c r="V19" s="886"/>
      <c r="W19" s="886"/>
    </row>
    <row r="20" spans="1:23">
      <c r="N20" s="886"/>
      <c r="O20" s="886"/>
      <c r="P20" s="886"/>
      <c r="Q20" s="886"/>
      <c r="R20" s="886"/>
      <c r="S20" s="886"/>
      <c r="T20" s="886"/>
      <c r="U20" s="886"/>
      <c r="V20" s="886"/>
      <c r="W20" s="886"/>
    </row>
    <row r="21" spans="1:23">
      <c r="N21" s="886"/>
      <c r="O21" s="886"/>
      <c r="P21" s="886"/>
      <c r="Q21" s="886"/>
      <c r="R21" s="886"/>
      <c r="S21" s="886"/>
      <c r="T21" s="886"/>
      <c r="U21" s="886"/>
      <c r="V21" s="886"/>
      <c r="W21" s="886"/>
    </row>
    <row r="22" spans="1:23">
      <c r="N22" s="886"/>
      <c r="O22" s="886"/>
      <c r="P22" s="886"/>
      <c r="Q22" s="886"/>
      <c r="R22" s="886"/>
      <c r="S22" s="886"/>
      <c r="T22" s="886"/>
      <c r="U22" s="886"/>
      <c r="V22" s="886"/>
      <c r="W22" s="886"/>
    </row>
    <row r="23" spans="1:23">
      <c r="N23" s="886"/>
      <c r="O23" s="886"/>
      <c r="P23" s="886"/>
      <c r="Q23" s="886"/>
      <c r="R23" s="886"/>
      <c r="S23" s="886"/>
      <c r="T23" s="886"/>
      <c r="U23" s="886"/>
      <c r="V23" s="886"/>
      <c r="W23" s="886"/>
    </row>
    <row r="24" spans="1:23">
      <c r="N24" s="886"/>
      <c r="O24" s="886"/>
      <c r="P24" s="886"/>
      <c r="Q24" s="886"/>
      <c r="R24" s="886"/>
      <c r="S24" s="886"/>
      <c r="T24" s="886"/>
      <c r="U24" s="886"/>
      <c r="V24" s="886"/>
      <c r="W24" s="886"/>
    </row>
    <row r="25" spans="1:23">
      <c r="N25" s="886"/>
      <c r="O25" s="886"/>
      <c r="P25" s="886"/>
      <c r="Q25" s="886"/>
      <c r="R25" s="886"/>
      <c r="S25" s="886"/>
      <c r="T25" s="886"/>
      <c r="U25" s="886"/>
      <c r="V25" s="886"/>
      <c r="W25" s="886"/>
    </row>
    <row r="26" spans="1:23">
      <c r="E26" s="880" t="s">
        <v>1104</v>
      </c>
      <c r="N26" s="886"/>
      <c r="O26" s="886"/>
      <c r="P26" s="886"/>
      <c r="Q26" s="886"/>
      <c r="R26" s="886"/>
      <c r="S26" s="886"/>
      <c r="T26" s="886"/>
      <c r="U26" s="886"/>
      <c r="V26" s="886"/>
      <c r="W26" s="886"/>
    </row>
    <row r="27" spans="1:23">
      <c r="N27" s="886"/>
      <c r="O27" s="886"/>
      <c r="P27" s="886"/>
      <c r="Q27" s="886"/>
      <c r="R27" s="886"/>
      <c r="S27" s="886"/>
      <c r="T27" s="886"/>
      <c r="U27" s="886"/>
      <c r="V27" s="886"/>
      <c r="W27" s="886"/>
    </row>
    <row r="28" spans="1:23">
      <c r="N28" s="886"/>
      <c r="O28" s="886"/>
      <c r="P28" s="886"/>
      <c r="Q28" s="886"/>
      <c r="R28" s="886"/>
      <c r="S28" s="886"/>
      <c r="T28" s="886"/>
      <c r="U28" s="886"/>
      <c r="V28" s="886"/>
      <c r="W28" s="886"/>
    </row>
    <row r="29" spans="1:23">
      <c r="N29" s="886"/>
      <c r="O29" s="886"/>
      <c r="P29" s="886"/>
      <c r="Q29" s="886"/>
      <c r="R29" s="886"/>
      <c r="S29" s="886"/>
      <c r="T29" s="886"/>
      <c r="U29" s="886"/>
      <c r="V29" s="886"/>
      <c r="W29" s="886"/>
    </row>
    <row r="30" spans="1:23">
      <c r="N30" s="886"/>
      <c r="O30" s="886"/>
      <c r="P30" s="886"/>
      <c r="Q30" s="886"/>
      <c r="R30" s="886"/>
      <c r="S30" s="886"/>
      <c r="T30" s="886"/>
      <c r="U30" s="886"/>
      <c r="V30" s="886"/>
      <c r="W30" s="886"/>
    </row>
    <row r="31" spans="1:23">
      <c r="N31" s="886"/>
      <c r="O31" s="886"/>
      <c r="P31" s="886"/>
      <c r="Q31" s="886"/>
      <c r="R31" s="886"/>
      <c r="S31" s="886"/>
      <c r="T31" s="886"/>
      <c r="U31" s="886"/>
      <c r="V31" s="886"/>
      <c r="W31" s="886"/>
    </row>
    <row r="32" spans="1:23">
      <c r="N32" s="886"/>
      <c r="O32" s="886"/>
      <c r="P32" s="886"/>
      <c r="Q32" s="886"/>
      <c r="R32" s="886"/>
      <c r="S32" s="886"/>
      <c r="T32" s="886"/>
      <c r="U32" s="886"/>
      <c r="V32" s="886"/>
      <c r="W32" s="886"/>
    </row>
  </sheetData>
  <mergeCells count="8">
    <mergeCell ref="A17:E17"/>
    <mergeCell ref="A18:D18"/>
    <mergeCell ref="A1:L1"/>
    <mergeCell ref="A2:A3"/>
    <mergeCell ref="B2:B3"/>
    <mergeCell ref="C2:H2"/>
    <mergeCell ref="I2:L2"/>
    <mergeCell ref="A16:F16"/>
  </mergeCells>
  <printOptions horizontalCentered="1"/>
  <pageMargins left="0.7" right="0.7" top="0.75" bottom="0.75" header="0.3" footer="0.3"/>
  <pageSetup scale="51" orientation="portrait" r:id="rId1"/>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20"/>
  <sheetViews>
    <sheetView workbookViewId="0">
      <selection sqref="A1:F1"/>
    </sheetView>
  </sheetViews>
  <sheetFormatPr defaultColWidth="9.140625" defaultRowHeight="15"/>
  <cols>
    <col min="1" max="1" width="10.5703125" style="893" customWidth="1"/>
    <col min="2" max="2" width="9" style="893" customWidth="1"/>
    <col min="3" max="4" width="10" style="893" customWidth="1"/>
    <col min="5" max="5" width="10.7109375" style="893" customWidth="1"/>
    <col min="6" max="6" width="22.85546875" style="893" customWidth="1"/>
    <col min="7" max="16384" width="9.140625" style="331"/>
  </cols>
  <sheetData>
    <row r="1" spans="1:6" s="893" customFormat="1">
      <c r="A1" s="1505" t="s">
        <v>1105</v>
      </c>
      <c r="B1" s="1505"/>
      <c r="C1" s="1505"/>
      <c r="D1" s="1505"/>
      <c r="E1" s="1505"/>
      <c r="F1" s="1505"/>
    </row>
    <row r="2" spans="1:6" s="893" customFormat="1" ht="16.5" customHeight="1">
      <c r="A2" s="1506" t="s">
        <v>116</v>
      </c>
      <c r="B2" s="1508" t="s">
        <v>1106</v>
      </c>
      <c r="C2" s="1509"/>
      <c r="D2" s="1509"/>
      <c r="E2" s="1509"/>
      <c r="F2" s="1510"/>
    </row>
    <row r="3" spans="1:6" s="893" customFormat="1">
      <c r="A3" s="1507"/>
      <c r="B3" s="894" t="s">
        <v>1107</v>
      </c>
      <c r="C3" s="895" t="s">
        <v>252</v>
      </c>
      <c r="D3" s="895" t="s">
        <v>253</v>
      </c>
      <c r="E3" s="895" t="s">
        <v>254</v>
      </c>
      <c r="F3" s="895" t="s">
        <v>1108</v>
      </c>
    </row>
    <row r="4" spans="1:6" s="898" customFormat="1" ht="14.25" customHeight="1">
      <c r="A4" s="896" t="s">
        <v>518</v>
      </c>
      <c r="B4" s="897">
        <v>13292.54</v>
      </c>
      <c r="C4" s="897">
        <v>13741.67</v>
      </c>
      <c r="D4" s="897">
        <v>12310.21</v>
      </c>
      <c r="E4" s="897">
        <v>13267.91</v>
      </c>
      <c r="F4" s="897">
        <v>12889.677058823536</v>
      </c>
    </row>
    <row r="5" spans="1:6" s="898" customFormat="1" ht="14.25" customHeight="1">
      <c r="A5" s="896" t="s">
        <v>743</v>
      </c>
      <c r="B5" s="899">
        <f>B6</f>
        <v>13278.55</v>
      </c>
      <c r="C5" s="899">
        <f>MAX(C6:C17)</f>
        <v>15090.4</v>
      </c>
      <c r="D5" s="899">
        <f>MIN(D6:D17)</f>
        <v>13109.95</v>
      </c>
      <c r="E5" s="899">
        <f>INDEX(E6:E17,COUNT(E6:E17))</f>
        <v>13771.33</v>
      </c>
      <c r="F5" s="899">
        <v>14148.345229357798</v>
      </c>
    </row>
    <row r="6" spans="1:6" ht="14.25" customHeight="1">
      <c r="A6" s="174">
        <v>45412</v>
      </c>
      <c r="B6" s="900">
        <v>13278.55</v>
      </c>
      <c r="C6" s="900">
        <v>14582.28</v>
      </c>
      <c r="D6" s="900">
        <v>13278.55</v>
      </c>
      <c r="E6" s="900">
        <v>14033.2</v>
      </c>
      <c r="F6" s="900">
        <v>14076.074090909091</v>
      </c>
    </row>
    <row r="7" spans="1:6" ht="14.25" customHeight="1">
      <c r="A7" s="174">
        <v>45443</v>
      </c>
      <c r="B7" s="901">
        <v>14032.32</v>
      </c>
      <c r="C7" s="901">
        <v>15090.4</v>
      </c>
      <c r="D7" s="901">
        <v>13874.77</v>
      </c>
      <c r="E7" s="901">
        <v>14416.73</v>
      </c>
      <c r="F7" s="901">
        <v>14429.576521739133</v>
      </c>
    </row>
    <row r="8" spans="1:6" ht="14.25" customHeight="1">
      <c r="A8" s="174">
        <v>45473</v>
      </c>
      <c r="B8" s="902">
        <v>14419.53</v>
      </c>
      <c r="C8" s="902">
        <v>14622.21</v>
      </c>
      <c r="D8" s="902">
        <v>14122.52</v>
      </c>
      <c r="E8" s="902">
        <v>14289.95</v>
      </c>
      <c r="F8" s="902">
        <v>14323.131000000003</v>
      </c>
    </row>
    <row r="9" spans="1:6">
      <c r="A9" s="174">
        <v>45504</v>
      </c>
      <c r="B9" s="900">
        <v>14288.19</v>
      </c>
      <c r="C9" s="902">
        <v>14718.18</v>
      </c>
      <c r="D9" s="902">
        <v>13339.08</v>
      </c>
      <c r="E9" s="902">
        <v>13673.63</v>
      </c>
      <c r="F9" s="902">
        <v>14208.219565217394</v>
      </c>
    </row>
    <row r="10" spans="1:6">
      <c r="A10" s="174">
        <v>45535</v>
      </c>
      <c r="B10" s="900">
        <v>13679.25</v>
      </c>
      <c r="C10" s="902">
        <v>14081.45</v>
      </c>
      <c r="D10" s="900">
        <v>13109.95</v>
      </c>
      <c r="E10" s="900">
        <v>13771.33</v>
      </c>
      <c r="F10" s="900">
        <v>13684.003333333334</v>
      </c>
    </row>
    <row r="11" spans="1:6">
      <c r="A11" s="174">
        <v>45565</v>
      </c>
      <c r="B11" s="900"/>
      <c r="C11" s="903"/>
      <c r="D11" s="903"/>
      <c r="E11" s="903"/>
      <c r="F11" s="903"/>
    </row>
    <row r="12" spans="1:6" ht="14.25" customHeight="1">
      <c r="A12" s="174">
        <v>45596</v>
      </c>
      <c r="B12" s="900"/>
      <c r="C12" s="903"/>
      <c r="D12" s="903"/>
      <c r="E12" s="903"/>
      <c r="F12" s="903"/>
    </row>
    <row r="13" spans="1:6" ht="14.25" customHeight="1">
      <c r="A13" s="174">
        <v>45626</v>
      </c>
      <c r="B13" s="900"/>
      <c r="C13" s="903"/>
      <c r="D13" s="903"/>
      <c r="E13" s="903"/>
      <c r="F13" s="903"/>
    </row>
    <row r="14" spans="1:6" ht="14.25" customHeight="1">
      <c r="A14" s="174">
        <v>45657</v>
      </c>
      <c r="B14" s="900"/>
      <c r="C14" s="903"/>
      <c r="D14" s="903"/>
      <c r="E14" s="903"/>
      <c r="F14" s="903"/>
    </row>
    <row r="15" spans="1:6" ht="14.25" customHeight="1">
      <c r="A15" s="174">
        <v>45688</v>
      </c>
      <c r="B15" s="900"/>
      <c r="C15" s="903"/>
      <c r="D15" s="903"/>
      <c r="E15" s="903"/>
      <c r="F15" s="903"/>
    </row>
    <row r="16" spans="1:6" ht="14.25" customHeight="1">
      <c r="A16" s="174">
        <v>45716</v>
      </c>
      <c r="B16" s="900"/>
      <c r="C16" s="903"/>
      <c r="D16" s="903"/>
      <c r="E16" s="903"/>
      <c r="F16" s="903"/>
    </row>
    <row r="17" spans="1:6" ht="14.25" customHeight="1">
      <c r="A17" s="174">
        <v>45747</v>
      </c>
      <c r="B17" s="900"/>
      <c r="C17" s="903"/>
      <c r="D17" s="903"/>
      <c r="E17" s="903"/>
      <c r="F17" s="903"/>
    </row>
    <row r="18" spans="1:6">
      <c r="A18" s="743" t="str">
        <f>"$ indicates as on "&amp;TEXT(IF(COUNT(B6:B17)=1,A6,IF(COUNT(B6:B17)=2,A7,IF(COUNT(B6:B17)=3,A8,IF(COUNT(B6:B17)=4,A9,IF(COUNT(B6:B17)=5,A10,IF(COUNT(B6:B17)=6,A11,IF(COUNT(B6:B17)=7,A12,IF(COUNT(B6:B17)=8,A13,IF(COUNT(B6:B17)=9,A14,IF(COUNT(B6:B17)=10,A15,IF(COUNT(B6:B17)=11,A16,A17))))))))))),"mmmm dd, yyyy")</f>
        <v>$ indicates as on August 31, 2024</v>
      </c>
    </row>
    <row r="19" spans="1:6">
      <c r="A19" s="893" t="s">
        <v>1109</v>
      </c>
    </row>
    <row r="20" spans="1:6">
      <c r="A20" s="898" t="s">
        <v>1110</v>
      </c>
    </row>
  </sheetData>
  <mergeCells count="3">
    <mergeCell ref="A1:F1"/>
    <mergeCell ref="A2:A3"/>
    <mergeCell ref="B2:F2"/>
  </mergeCells>
  <printOptions horizontalCentered="1"/>
  <pageMargins left="0.7" right="0.7" top="0.75" bottom="0.75" header="0.3" footer="0.3"/>
  <pageSetup fitToWidth="0" orientation="landscape" r:id="rId1"/>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D40"/>
  <sheetViews>
    <sheetView workbookViewId="0">
      <selection sqref="A1:T1"/>
    </sheetView>
  </sheetViews>
  <sheetFormatPr defaultColWidth="9.140625" defaultRowHeight="15"/>
  <cols>
    <col min="1" max="1" width="12.85546875" style="336" customWidth="1"/>
    <col min="2" max="2" width="8.140625" style="336" customWidth="1"/>
    <col min="3" max="3" width="10" style="336" customWidth="1"/>
    <col min="4" max="4" width="11.42578125" style="336" customWidth="1"/>
    <col min="5" max="5" width="11.140625" style="336" customWidth="1"/>
    <col min="6" max="6" width="11.42578125" style="336" customWidth="1"/>
    <col min="7" max="7" width="12.42578125" style="336" customWidth="1"/>
    <col min="8" max="8" width="8.85546875" style="336" customWidth="1"/>
    <col min="9" max="9" width="11.42578125" style="336" customWidth="1"/>
    <col min="10" max="10" width="10.42578125" style="336" customWidth="1"/>
    <col min="11" max="11" width="12.5703125" style="336" bestFit="1" customWidth="1"/>
    <col min="12" max="12" width="10.42578125" style="336" customWidth="1"/>
    <col min="13" max="13" width="11.42578125" style="336" customWidth="1"/>
    <col min="14" max="14" width="9.85546875" style="336" customWidth="1"/>
    <col min="15" max="15" width="11.5703125" style="336" customWidth="1"/>
    <col min="16" max="16" width="11.42578125" style="336" bestFit="1" customWidth="1"/>
    <col min="17" max="17" width="11.28515625" style="336" customWidth="1"/>
    <col min="18" max="20" width="9.28515625" style="336" bestFit="1" customWidth="1"/>
    <col min="21" max="21" width="9.140625" style="331"/>
    <col min="22" max="22" width="10.5703125" style="331" bestFit="1" customWidth="1"/>
    <col min="23" max="23" width="9.28515625" style="331" bestFit="1" customWidth="1"/>
    <col min="24" max="24" width="9.140625" style="331"/>
    <col min="25" max="25" width="12" style="331" bestFit="1" customWidth="1"/>
    <col min="26" max="30" width="9.140625" style="331"/>
    <col min="31" max="16384" width="9.140625" style="336"/>
  </cols>
  <sheetData>
    <row r="1" spans="1:30" ht="15" customHeight="1">
      <c r="A1" s="1524" t="s">
        <v>1111</v>
      </c>
      <c r="B1" s="1525"/>
      <c r="C1" s="1525"/>
      <c r="D1" s="1525"/>
      <c r="E1" s="1525"/>
      <c r="F1" s="1525"/>
      <c r="G1" s="1525"/>
      <c r="H1" s="1525"/>
      <c r="I1" s="1525"/>
      <c r="J1" s="1525"/>
      <c r="K1" s="1525"/>
      <c r="L1" s="1525"/>
      <c r="M1" s="1525"/>
      <c r="N1" s="1525"/>
      <c r="O1" s="1525"/>
      <c r="P1" s="1525"/>
      <c r="Q1" s="1525"/>
      <c r="R1" s="1525"/>
      <c r="S1" s="1525"/>
      <c r="T1" s="1525"/>
      <c r="U1" s="905"/>
      <c r="V1" s="905"/>
      <c r="W1" s="905"/>
      <c r="X1" s="336"/>
      <c r="Y1" s="336"/>
      <c r="Z1" s="336"/>
      <c r="AA1" s="336"/>
      <c r="AB1" s="336"/>
      <c r="AC1" s="336"/>
      <c r="AD1" s="336"/>
    </row>
    <row r="2" spans="1:30">
      <c r="A2" s="1526" t="s">
        <v>1086</v>
      </c>
      <c r="B2" s="1526"/>
      <c r="C2" s="1526"/>
      <c r="D2" s="1526"/>
      <c r="E2" s="1526"/>
      <c r="F2" s="1526"/>
      <c r="G2" s="1526"/>
      <c r="H2" s="1526"/>
      <c r="I2" s="1526"/>
      <c r="J2" s="1526"/>
      <c r="K2" s="1526"/>
      <c r="L2" s="1526"/>
      <c r="M2" s="1526"/>
      <c r="N2" s="1526"/>
      <c r="O2" s="1526"/>
      <c r="P2" s="1526"/>
      <c r="Q2" s="1526"/>
      <c r="R2" s="1526"/>
      <c r="S2" s="1526"/>
      <c r="T2" s="1526"/>
      <c r="U2" s="906"/>
      <c r="V2" s="906"/>
      <c r="W2" s="906"/>
      <c r="X2" s="336"/>
      <c r="Y2" s="336"/>
      <c r="Z2" s="336"/>
      <c r="AA2" s="336"/>
      <c r="AB2" s="336"/>
      <c r="AC2" s="336"/>
      <c r="AD2" s="336"/>
    </row>
    <row r="3" spans="1:30" s="907" customFormat="1" ht="50.25" customHeight="1">
      <c r="A3" s="1527" t="s">
        <v>1112</v>
      </c>
      <c r="B3" s="1529" t="s">
        <v>1113</v>
      </c>
      <c r="C3" s="1530" t="s">
        <v>1088</v>
      </c>
      <c r="D3" s="1531"/>
      <c r="E3" s="1530" t="s">
        <v>1114</v>
      </c>
      <c r="F3" s="1531"/>
      <c r="G3" s="1530" t="s">
        <v>1115</v>
      </c>
      <c r="H3" s="1531"/>
      <c r="I3" s="1530" t="s">
        <v>1116</v>
      </c>
      <c r="J3" s="1531"/>
      <c r="K3" s="1530" t="s">
        <v>1117</v>
      </c>
      <c r="L3" s="1531"/>
      <c r="M3" s="1530" t="s">
        <v>1118</v>
      </c>
      <c r="N3" s="1531"/>
      <c r="O3" s="1530" t="s">
        <v>1119</v>
      </c>
      <c r="P3" s="1531"/>
      <c r="Q3" s="1530" t="s">
        <v>1120</v>
      </c>
      <c r="R3" s="1531"/>
      <c r="S3" s="1518" t="s">
        <v>1121</v>
      </c>
      <c r="T3" s="1518"/>
      <c r="U3" s="331"/>
      <c r="V3" s="331"/>
      <c r="W3" s="331"/>
      <c r="X3" s="331"/>
      <c r="Y3" s="331"/>
      <c r="Z3" s="331"/>
      <c r="AA3" s="331"/>
      <c r="AB3" s="331"/>
      <c r="AC3" s="331"/>
      <c r="AD3" s="331"/>
    </row>
    <row r="4" spans="1:30" s="907" customFormat="1" ht="68.25" customHeight="1">
      <c r="A4" s="1528"/>
      <c r="B4" s="1518"/>
      <c r="C4" s="908" t="s">
        <v>1122</v>
      </c>
      <c r="D4" s="909" t="s">
        <v>1123</v>
      </c>
      <c r="E4" s="908" t="s">
        <v>1122</v>
      </c>
      <c r="F4" s="909" t="s">
        <v>1124</v>
      </c>
      <c r="G4" s="908" t="s">
        <v>1125</v>
      </c>
      <c r="H4" s="909" t="s">
        <v>1123</v>
      </c>
      <c r="I4" s="908" t="s">
        <v>1125</v>
      </c>
      <c r="J4" s="909" t="s">
        <v>1123</v>
      </c>
      <c r="K4" s="908" t="s">
        <v>1122</v>
      </c>
      <c r="L4" s="909" t="s">
        <v>1126</v>
      </c>
      <c r="M4" s="908" t="s">
        <v>1125</v>
      </c>
      <c r="N4" s="909" t="s">
        <v>1126</v>
      </c>
      <c r="O4" s="908" t="s">
        <v>1122</v>
      </c>
      <c r="P4" s="909" t="s">
        <v>1123</v>
      </c>
      <c r="Q4" s="908" t="s">
        <v>1122</v>
      </c>
      <c r="R4" s="909" t="s">
        <v>1123</v>
      </c>
      <c r="S4" s="908" t="s">
        <v>1125</v>
      </c>
      <c r="T4" s="908" t="s">
        <v>1127</v>
      </c>
      <c r="U4" s="331"/>
      <c r="V4" s="331"/>
      <c r="W4" s="331"/>
      <c r="X4" s="331"/>
      <c r="Y4" s="331"/>
      <c r="Z4" s="331"/>
      <c r="AA4" s="331"/>
      <c r="AB4" s="331"/>
      <c r="AC4" s="331"/>
      <c r="AD4" s="331"/>
    </row>
    <row r="5" spans="1:30" s="912" customFormat="1">
      <c r="A5" s="910" t="s">
        <v>518</v>
      </c>
      <c r="B5" s="911">
        <v>255</v>
      </c>
      <c r="C5" s="911">
        <v>82469</v>
      </c>
      <c r="D5" s="911">
        <v>5577.2525947999993</v>
      </c>
      <c r="E5" s="911">
        <v>74597044</v>
      </c>
      <c r="F5" s="911">
        <v>3111327.5770087</v>
      </c>
      <c r="G5" s="911">
        <v>4940335</v>
      </c>
      <c r="H5" s="911">
        <v>480373.68108500005</v>
      </c>
      <c r="I5" s="911">
        <v>55598170</v>
      </c>
      <c r="J5" s="911">
        <v>1382227.0077424997</v>
      </c>
      <c r="K5" s="911">
        <v>100063</v>
      </c>
      <c r="L5" s="911">
        <v>8057.9922449999995</v>
      </c>
      <c r="M5" s="911">
        <v>0</v>
      </c>
      <c r="N5" s="911">
        <v>0</v>
      </c>
      <c r="O5" s="911">
        <v>0</v>
      </c>
      <c r="P5" s="911">
        <v>0</v>
      </c>
      <c r="Q5" s="911">
        <v>135318081</v>
      </c>
      <c r="R5" s="911">
        <v>4987563.5106760012</v>
      </c>
      <c r="S5" s="911">
        <v>451907</v>
      </c>
      <c r="T5" s="911">
        <v>31171.6267233</v>
      </c>
      <c r="U5" s="331"/>
      <c r="V5" s="331"/>
      <c r="W5" s="331"/>
      <c r="X5" s="331"/>
      <c r="Y5" s="331"/>
      <c r="Z5" s="331"/>
      <c r="AA5" s="331"/>
      <c r="AB5" s="331"/>
      <c r="AC5" s="331"/>
      <c r="AD5" s="331"/>
    </row>
    <row r="6" spans="1:30" s="912" customFormat="1">
      <c r="A6" s="913" t="s">
        <v>743</v>
      </c>
      <c r="B6" s="914">
        <f>SUM(B7:B18)</f>
        <v>109</v>
      </c>
      <c r="C6" s="914">
        <f t="shared" ref="C6:R6" si="0">SUM(C7:C18)</f>
        <v>28928</v>
      </c>
      <c r="D6" s="914">
        <f t="shared" si="0"/>
        <v>1720.5175848000003</v>
      </c>
      <c r="E6" s="914">
        <f t="shared" si="0"/>
        <v>36861199</v>
      </c>
      <c r="F6" s="914">
        <f t="shared" si="0"/>
        <v>1933388.7088211002</v>
      </c>
      <c r="G6" s="914">
        <f t="shared" si="0"/>
        <v>3010875</v>
      </c>
      <c r="H6" s="914">
        <f t="shared" si="0"/>
        <v>348886.61308750004</v>
      </c>
      <c r="I6" s="914">
        <f t="shared" si="0"/>
        <v>25879940</v>
      </c>
      <c r="J6" s="914">
        <f t="shared" si="0"/>
        <v>544139.63490449998</v>
      </c>
      <c r="K6" s="914">
        <f t="shared" si="0"/>
        <v>21263</v>
      </c>
      <c r="L6" s="914">
        <f t="shared" si="0"/>
        <v>1943.28199</v>
      </c>
      <c r="M6" s="914">
        <f t="shared" si="0"/>
        <v>0</v>
      </c>
      <c r="N6" s="914">
        <f t="shared" si="0"/>
        <v>0</v>
      </c>
      <c r="O6" s="914">
        <f t="shared" si="0"/>
        <v>0</v>
      </c>
      <c r="P6" s="914">
        <f t="shared" si="0"/>
        <v>0</v>
      </c>
      <c r="Q6" s="914">
        <f>SUM(Q7:Q18)</f>
        <v>65802205</v>
      </c>
      <c r="R6" s="914">
        <f t="shared" si="0"/>
        <v>2830078.7563879001</v>
      </c>
      <c r="S6" s="914">
        <f>INDEX(S7:S18,COUNT(S7:S18))</f>
        <v>535228</v>
      </c>
      <c r="T6" s="914">
        <f>INDEX(T7:T18,COUNT(T7:T18))</f>
        <v>33861.672599999998</v>
      </c>
      <c r="U6" s="331"/>
      <c r="V6" s="331"/>
      <c r="W6" s="331"/>
      <c r="X6" s="331"/>
      <c r="Y6" s="331"/>
      <c r="Z6" s="331"/>
      <c r="AA6" s="331"/>
      <c r="AB6" s="331"/>
      <c r="AC6" s="331"/>
      <c r="AD6" s="331"/>
    </row>
    <row r="7" spans="1:30" s="912" customFormat="1">
      <c r="A7" s="174">
        <v>45412</v>
      </c>
      <c r="B7" s="916">
        <v>22</v>
      </c>
      <c r="C7" s="916">
        <v>4225</v>
      </c>
      <c r="D7" s="916">
        <v>281.39702520000003</v>
      </c>
      <c r="E7" s="916">
        <v>7848413</v>
      </c>
      <c r="F7" s="916">
        <v>394580.82424070005</v>
      </c>
      <c r="G7" s="916">
        <v>617119</v>
      </c>
      <c r="H7" s="916">
        <v>61086.892562499997</v>
      </c>
      <c r="I7" s="916">
        <v>4857825</v>
      </c>
      <c r="J7" s="916">
        <v>94204.633474999995</v>
      </c>
      <c r="K7" s="916">
        <v>6892</v>
      </c>
      <c r="L7" s="916">
        <v>621.72975999999994</v>
      </c>
      <c r="M7" s="916">
        <v>0</v>
      </c>
      <c r="N7" s="916">
        <v>0</v>
      </c>
      <c r="O7" s="916">
        <v>0</v>
      </c>
      <c r="P7" s="916">
        <v>0</v>
      </c>
      <c r="Q7" s="916">
        <f t="shared" ref="Q7:R9" si="1">C7+E7+G7+I7+K7+M7+O7</f>
        <v>13334474</v>
      </c>
      <c r="R7" s="916">
        <f t="shared" si="1"/>
        <v>550775.47706340009</v>
      </c>
      <c r="S7" s="916">
        <v>416142</v>
      </c>
      <c r="T7" s="916">
        <v>32002.226900000001</v>
      </c>
      <c r="U7" s="331"/>
      <c r="V7" s="331"/>
      <c r="W7" s="331"/>
      <c r="X7" s="331"/>
      <c r="Y7" s="331"/>
      <c r="Z7" s="331"/>
      <c r="AA7" s="331"/>
      <c r="AB7" s="331"/>
      <c r="AC7" s="331"/>
      <c r="AD7" s="331"/>
    </row>
    <row r="8" spans="1:30" s="912" customFormat="1">
      <c r="A8" s="174">
        <v>45443</v>
      </c>
      <c r="B8" s="916">
        <v>23</v>
      </c>
      <c r="C8" s="916">
        <v>4228</v>
      </c>
      <c r="D8" s="916">
        <v>425.26852439999999</v>
      </c>
      <c r="E8" s="916">
        <v>7759810</v>
      </c>
      <c r="F8" s="916">
        <v>415417.43641359999</v>
      </c>
      <c r="G8" s="916">
        <v>697917</v>
      </c>
      <c r="H8" s="916">
        <v>82304.671804999991</v>
      </c>
      <c r="I8" s="916">
        <v>5496931</v>
      </c>
      <c r="J8" s="916">
        <v>121120.3109905</v>
      </c>
      <c r="K8" s="916">
        <v>5274</v>
      </c>
      <c r="L8" s="916">
        <v>490.43921999999992</v>
      </c>
      <c r="M8" s="916">
        <v>0</v>
      </c>
      <c r="N8" s="916">
        <v>0</v>
      </c>
      <c r="O8" s="916">
        <v>0</v>
      </c>
      <c r="P8" s="916">
        <v>0</v>
      </c>
      <c r="Q8" s="916">
        <f t="shared" si="1"/>
        <v>13964160</v>
      </c>
      <c r="R8" s="916">
        <f t="shared" si="1"/>
        <v>619758.12695349997</v>
      </c>
      <c r="S8" s="916">
        <v>413302</v>
      </c>
      <c r="T8" s="916">
        <v>29504.701339800005</v>
      </c>
      <c r="U8" s="331"/>
      <c r="V8" s="331"/>
      <c r="W8" s="331"/>
      <c r="X8" s="331"/>
      <c r="Y8" s="331"/>
      <c r="Z8" s="331"/>
      <c r="AA8" s="331"/>
      <c r="AB8" s="331"/>
      <c r="AC8" s="331"/>
      <c r="AD8" s="331"/>
    </row>
    <row r="9" spans="1:30" s="912" customFormat="1">
      <c r="A9" s="174">
        <v>45473</v>
      </c>
      <c r="B9" s="916">
        <v>20</v>
      </c>
      <c r="C9" s="916">
        <v>4738</v>
      </c>
      <c r="D9" s="916">
        <v>265.23962879999999</v>
      </c>
      <c r="E9" s="916">
        <v>6880554</v>
      </c>
      <c r="F9" s="916">
        <v>347004.78149390005</v>
      </c>
      <c r="G9" s="916">
        <v>545473</v>
      </c>
      <c r="H9" s="916">
        <v>63962.230330000006</v>
      </c>
      <c r="I9" s="916">
        <v>4607496</v>
      </c>
      <c r="J9" s="916">
        <v>106903.35044750001</v>
      </c>
      <c r="K9" s="916">
        <v>3944</v>
      </c>
      <c r="L9" s="916">
        <v>365.41082499999999</v>
      </c>
      <c r="M9" s="916">
        <v>0</v>
      </c>
      <c r="N9" s="916">
        <v>0</v>
      </c>
      <c r="O9" s="916">
        <v>0</v>
      </c>
      <c r="P9" s="916">
        <v>0</v>
      </c>
      <c r="Q9" s="916">
        <f t="shared" si="1"/>
        <v>12042205</v>
      </c>
      <c r="R9" s="916">
        <f t="shared" si="1"/>
        <v>518501.0127252001</v>
      </c>
      <c r="S9" s="916">
        <v>423753</v>
      </c>
      <c r="T9" s="916">
        <v>29648.2978754</v>
      </c>
      <c r="U9" s="331"/>
      <c r="V9" s="331"/>
      <c r="W9" s="331"/>
      <c r="X9" s="331"/>
      <c r="Y9" s="331"/>
      <c r="Z9" s="331"/>
      <c r="AA9" s="331"/>
      <c r="AB9" s="331"/>
      <c r="AC9" s="331"/>
      <c r="AD9" s="331"/>
    </row>
    <row r="10" spans="1:30" s="912" customFormat="1">
      <c r="A10" s="174">
        <v>45504</v>
      </c>
      <c r="B10" s="916">
        <v>23</v>
      </c>
      <c r="C10" s="916">
        <v>8944</v>
      </c>
      <c r="D10" s="916">
        <v>487.05320640000014</v>
      </c>
      <c r="E10" s="916">
        <v>6927431</v>
      </c>
      <c r="F10" s="916">
        <v>399633.56717290002</v>
      </c>
      <c r="G10" s="916">
        <v>554678</v>
      </c>
      <c r="H10" s="916">
        <v>70542.084190000009</v>
      </c>
      <c r="I10" s="916">
        <v>4782487</v>
      </c>
      <c r="J10" s="916">
        <v>99501.813691499992</v>
      </c>
      <c r="K10" s="916">
        <v>3294</v>
      </c>
      <c r="L10" s="916">
        <v>301.01428500000003</v>
      </c>
      <c r="M10" s="916">
        <v>0</v>
      </c>
      <c r="N10" s="916">
        <v>0</v>
      </c>
      <c r="O10" s="916">
        <v>0</v>
      </c>
      <c r="P10" s="916">
        <v>0</v>
      </c>
      <c r="Q10" s="916">
        <v>12276834</v>
      </c>
      <c r="R10" s="916">
        <v>570465.53254579997</v>
      </c>
      <c r="S10" s="916">
        <v>590662</v>
      </c>
      <c r="T10" s="916">
        <v>34871.473299999998</v>
      </c>
      <c r="U10" s="331"/>
      <c r="V10" s="331"/>
      <c r="W10" s="331"/>
      <c r="X10" s="331"/>
      <c r="Y10" s="331"/>
      <c r="Z10" s="331"/>
      <c r="AA10" s="331"/>
      <c r="AB10" s="331"/>
      <c r="AC10" s="331"/>
      <c r="AD10" s="331"/>
    </row>
    <row r="11" spans="1:30" s="912" customFormat="1">
      <c r="A11" s="174">
        <v>45535</v>
      </c>
      <c r="B11" s="916">
        <v>21</v>
      </c>
      <c r="C11" s="916">
        <v>6793</v>
      </c>
      <c r="D11" s="916">
        <v>261.55920000000003</v>
      </c>
      <c r="E11" s="916">
        <v>7444991</v>
      </c>
      <c r="F11" s="916">
        <v>376752.09949999995</v>
      </c>
      <c r="G11" s="916">
        <v>595688</v>
      </c>
      <c r="H11" s="916">
        <v>70990.734200000006</v>
      </c>
      <c r="I11" s="916">
        <v>6135201</v>
      </c>
      <c r="J11" s="916">
        <v>122409.52630000001</v>
      </c>
      <c r="K11" s="916">
        <v>1859</v>
      </c>
      <c r="L11" s="916">
        <v>164.68790000000001</v>
      </c>
      <c r="M11" s="916">
        <v>0</v>
      </c>
      <c r="N11" s="916">
        <v>0</v>
      </c>
      <c r="O11" s="916">
        <v>0</v>
      </c>
      <c r="P11" s="916">
        <v>0</v>
      </c>
      <c r="Q11" s="916">
        <v>14184532</v>
      </c>
      <c r="R11" s="916">
        <v>570578.60710000002</v>
      </c>
      <c r="S11" s="916">
        <v>535228</v>
      </c>
      <c r="T11" s="916">
        <v>33861.672599999998</v>
      </c>
      <c r="U11" s="331"/>
      <c r="V11" s="331"/>
      <c r="W11" s="331"/>
      <c r="X11" s="331"/>
      <c r="Y11" s="331"/>
      <c r="Z11" s="331"/>
      <c r="AA11" s="331"/>
      <c r="AB11" s="331"/>
      <c r="AC11" s="331"/>
      <c r="AD11" s="331"/>
    </row>
    <row r="12" spans="1:30" s="912" customFormat="1">
      <c r="A12" s="174">
        <v>45565</v>
      </c>
      <c r="B12" s="916"/>
      <c r="C12" s="916"/>
      <c r="D12" s="916"/>
      <c r="E12" s="916"/>
      <c r="F12" s="916"/>
      <c r="G12" s="916"/>
      <c r="H12" s="916"/>
      <c r="I12" s="916"/>
      <c r="J12" s="916"/>
      <c r="K12" s="916"/>
      <c r="L12" s="916"/>
      <c r="M12" s="916"/>
      <c r="N12" s="916"/>
      <c r="O12" s="916"/>
      <c r="P12" s="916"/>
      <c r="Q12" s="916"/>
      <c r="R12" s="916"/>
      <c r="S12" s="916"/>
      <c r="T12" s="916"/>
      <c r="U12" s="331"/>
      <c r="V12" s="331"/>
      <c r="W12" s="331"/>
      <c r="X12" s="331"/>
      <c r="Y12" s="331"/>
      <c r="Z12" s="331"/>
      <c r="AA12" s="331"/>
      <c r="AB12" s="331"/>
      <c r="AC12" s="331"/>
      <c r="AD12" s="331"/>
    </row>
    <row r="13" spans="1:30" s="912" customFormat="1">
      <c r="A13" s="174">
        <v>45596</v>
      </c>
      <c r="B13" s="916"/>
      <c r="C13" s="916"/>
      <c r="D13" s="916"/>
      <c r="E13" s="916"/>
      <c r="F13" s="916"/>
      <c r="G13" s="916"/>
      <c r="H13" s="916"/>
      <c r="I13" s="916"/>
      <c r="J13" s="916"/>
      <c r="K13" s="916"/>
      <c r="L13" s="916"/>
      <c r="M13" s="916"/>
      <c r="N13" s="916"/>
      <c r="O13" s="916"/>
      <c r="P13" s="916"/>
      <c r="Q13" s="916"/>
      <c r="R13" s="916"/>
      <c r="S13" s="916"/>
      <c r="T13" s="916"/>
      <c r="U13" s="331"/>
      <c r="V13" s="331"/>
      <c r="W13" s="331"/>
      <c r="X13" s="331"/>
      <c r="Y13" s="331"/>
      <c r="Z13" s="331"/>
      <c r="AA13" s="331"/>
      <c r="AB13" s="331"/>
      <c r="AC13" s="331"/>
      <c r="AD13" s="331"/>
    </row>
    <row r="14" spans="1:30" s="912" customFormat="1">
      <c r="A14" s="174">
        <v>45626</v>
      </c>
      <c r="B14" s="916"/>
      <c r="C14" s="916"/>
      <c r="D14" s="916"/>
      <c r="E14" s="916"/>
      <c r="F14" s="916"/>
      <c r="G14" s="916"/>
      <c r="H14" s="916"/>
      <c r="I14" s="916"/>
      <c r="J14" s="916"/>
      <c r="K14" s="916"/>
      <c r="L14" s="916"/>
      <c r="M14" s="916"/>
      <c r="N14" s="916"/>
      <c r="O14" s="916"/>
      <c r="P14" s="916"/>
      <c r="Q14" s="916"/>
      <c r="R14" s="916"/>
      <c r="S14" s="916"/>
      <c r="T14" s="916"/>
      <c r="U14" s="331"/>
      <c r="V14" s="331"/>
      <c r="W14" s="331"/>
      <c r="X14" s="331"/>
      <c r="Y14" s="331"/>
      <c r="Z14" s="331"/>
      <c r="AA14" s="331"/>
      <c r="AB14" s="331"/>
      <c r="AC14" s="331"/>
      <c r="AD14" s="331"/>
    </row>
    <row r="15" spans="1:30" s="912" customFormat="1">
      <c r="A15" s="174">
        <v>45657</v>
      </c>
      <c r="B15" s="916"/>
      <c r="C15" s="916"/>
      <c r="D15" s="916"/>
      <c r="E15" s="916"/>
      <c r="F15" s="916"/>
      <c r="G15" s="916"/>
      <c r="H15" s="916"/>
      <c r="I15" s="916"/>
      <c r="J15" s="916"/>
      <c r="K15" s="916"/>
      <c r="L15" s="916"/>
      <c r="M15" s="916"/>
      <c r="N15" s="916"/>
      <c r="O15" s="916"/>
      <c r="P15" s="916"/>
      <c r="Q15" s="916"/>
      <c r="R15" s="916"/>
      <c r="S15" s="916"/>
      <c r="T15" s="916"/>
      <c r="U15" s="331"/>
      <c r="V15" s="331"/>
      <c r="W15" s="331"/>
      <c r="X15" s="331"/>
      <c r="Y15" s="331"/>
      <c r="Z15" s="331"/>
      <c r="AA15" s="331"/>
      <c r="AB15" s="331"/>
      <c r="AC15" s="331"/>
      <c r="AD15" s="331"/>
    </row>
    <row r="16" spans="1:30" s="912" customFormat="1">
      <c r="A16" s="174">
        <v>45688</v>
      </c>
      <c r="B16" s="916"/>
      <c r="C16" s="916"/>
      <c r="D16" s="916"/>
      <c r="E16" s="916"/>
      <c r="F16" s="916"/>
      <c r="G16" s="916"/>
      <c r="H16" s="916"/>
      <c r="I16" s="916"/>
      <c r="J16" s="916"/>
      <c r="K16" s="916"/>
      <c r="L16" s="916"/>
      <c r="M16" s="916"/>
      <c r="N16" s="916"/>
      <c r="O16" s="916"/>
      <c r="P16" s="916"/>
      <c r="Q16" s="916"/>
      <c r="R16" s="916"/>
      <c r="S16" s="916"/>
      <c r="T16" s="916"/>
      <c r="U16" s="331"/>
      <c r="V16" s="331"/>
      <c r="W16" s="331"/>
      <c r="X16" s="331"/>
      <c r="Y16" s="331"/>
      <c r="Z16" s="331"/>
      <c r="AA16" s="331"/>
      <c r="AB16" s="331"/>
      <c r="AC16" s="331"/>
      <c r="AD16" s="331"/>
    </row>
    <row r="17" spans="1:30" s="912" customFormat="1">
      <c r="A17" s="174">
        <v>45716</v>
      </c>
      <c r="B17" s="916"/>
      <c r="C17" s="916"/>
      <c r="D17" s="916"/>
      <c r="E17" s="916"/>
      <c r="F17" s="916"/>
      <c r="G17" s="916"/>
      <c r="H17" s="916"/>
      <c r="I17" s="916"/>
      <c r="J17" s="916"/>
      <c r="K17" s="916"/>
      <c r="L17" s="916"/>
      <c r="M17" s="916"/>
      <c r="N17" s="916"/>
      <c r="O17" s="916"/>
      <c r="P17" s="916"/>
      <c r="Q17" s="916"/>
      <c r="R17" s="916"/>
      <c r="S17" s="916"/>
      <c r="T17" s="916"/>
      <c r="U17" s="331"/>
      <c r="V17" s="331"/>
      <c r="W17" s="331"/>
      <c r="X17" s="331"/>
      <c r="Y17" s="331"/>
      <c r="Z17" s="331"/>
      <c r="AA17" s="331"/>
      <c r="AB17" s="331"/>
      <c r="AC17" s="331"/>
      <c r="AD17" s="331"/>
    </row>
    <row r="18" spans="1:30">
      <c r="A18" s="174">
        <v>45747</v>
      </c>
      <c r="B18" s="916"/>
      <c r="C18" s="916"/>
      <c r="D18" s="916"/>
      <c r="E18" s="916"/>
      <c r="F18" s="916"/>
      <c r="G18" s="916"/>
      <c r="H18" s="916"/>
      <c r="I18" s="916"/>
      <c r="J18" s="916"/>
      <c r="K18" s="916"/>
      <c r="L18" s="916"/>
      <c r="M18" s="916"/>
      <c r="N18" s="916"/>
      <c r="O18" s="916"/>
      <c r="P18" s="916"/>
      <c r="Q18" s="916"/>
      <c r="R18" s="916"/>
      <c r="S18" s="916"/>
      <c r="T18" s="916"/>
    </row>
    <row r="19" spans="1:30">
      <c r="A19" s="917"/>
      <c r="B19" s="918"/>
      <c r="C19" s="919"/>
      <c r="D19" s="919"/>
      <c r="E19" s="919"/>
      <c r="F19" s="919"/>
      <c r="G19" s="919"/>
      <c r="H19" s="920"/>
      <c r="I19" s="919"/>
      <c r="J19" s="919"/>
      <c r="K19" s="919"/>
      <c r="L19" s="920"/>
      <c r="M19" s="921"/>
      <c r="N19" s="921"/>
      <c r="O19" s="921"/>
      <c r="P19" s="921"/>
      <c r="Q19" s="921"/>
      <c r="R19" s="921"/>
      <c r="T19" s="37"/>
    </row>
    <row r="20" spans="1:30">
      <c r="A20" s="1523" t="s">
        <v>1128</v>
      </c>
      <c r="B20" s="1523"/>
      <c r="C20" s="1523"/>
      <c r="D20" s="1523"/>
      <c r="E20" s="1523"/>
      <c r="F20" s="1523"/>
      <c r="G20" s="1523"/>
      <c r="H20" s="1523"/>
      <c r="I20" s="1523"/>
      <c r="J20" s="1523"/>
      <c r="K20" s="1523"/>
      <c r="L20" s="1523"/>
      <c r="M20" s="1523"/>
      <c r="N20" s="1523"/>
      <c r="O20" s="1523"/>
      <c r="P20" s="1523"/>
      <c r="Q20" s="1523"/>
      <c r="R20" s="1523"/>
    </row>
    <row r="21" spans="1:30" ht="48.75" customHeight="1">
      <c r="A21" s="1512" t="s">
        <v>1112</v>
      </c>
      <c r="B21" s="1512" t="s">
        <v>1113</v>
      </c>
      <c r="C21" s="1520" t="s">
        <v>1129</v>
      </c>
      <c r="D21" s="1521"/>
      <c r="E21" s="1521"/>
      <c r="F21" s="1522"/>
      <c r="G21" s="1520" t="s">
        <v>1115</v>
      </c>
      <c r="H21" s="1521"/>
      <c r="I21" s="1521"/>
      <c r="J21" s="1522"/>
      <c r="K21" s="1520" t="s">
        <v>1116</v>
      </c>
      <c r="L21" s="1521"/>
      <c r="M21" s="1521"/>
      <c r="N21" s="1522"/>
      <c r="O21" s="1511" t="s">
        <v>1130</v>
      </c>
      <c r="P21" s="1511"/>
      <c r="Q21" s="1514" t="s">
        <v>1131</v>
      </c>
      <c r="R21" s="1514"/>
    </row>
    <row r="22" spans="1:30" ht="20.25" customHeight="1">
      <c r="A22" s="1519"/>
      <c r="B22" s="1519"/>
      <c r="C22" s="1515" t="s">
        <v>1132</v>
      </c>
      <c r="D22" s="1516"/>
      <c r="E22" s="1515" t="s">
        <v>1133</v>
      </c>
      <c r="F22" s="1516"/>
      <c r="G22" s="1515" t="s">
        <v>1132</v>
      </c>
      <c r="H22" s="1516"/>
      <c r="I22" s="1515" t="s">
        <v>1133</v>
      </c>
      <c r="J22" s="1516"/>
      <c r="K22" s="1515" t="s">
        <v>1132</v>
      </c>
      <c r="L22" s="1516"/>
      <c r="M22" s="1515" t="s">
        <v>1133</v>
      </c>
      <c r="N22" s="1516"/>
      <c r="O22" s="1517" t="s">
        <v>1122</v>
      </c>
      <c r="P22" s="1512" t="s">
        <v>1134</v>
      </c>
      <c r="Q22" s="1512" t="s">
        <v>1122</v>
      </c>
      <c r="R22" s="1512" t="s">
        <v>1134</v>
      </c>
    </row>
    <row r="23" spans="1:30" ht="60">
      <c r="A23" s="1513"/>
      <c r="B23" s="1513"/>
      <c r="C23" s="908" t="s">
        <v>1122</v>
      </c>
      <c r="D23" s="909" t="s">
        <v>1123</v>
      </c>
      <c r="E23" s="908" t="s">
        <v>1122</v>
      </c>
      <c r="F23" s="909" t="s">
        <v>1123</v>
      </c>
      <c r="G23" s="908" t="s">
        <v>1122</v>
      </c>
      <c r="H23" s="909" t="s">
        <v>1123</v>
      </c>
      <c r="I23" s="908" t="s">
        <v>1122</v>
      </c>
      <c r="J23" s="909" t="s">
        <v>1123</v>
      </c>
      <c r="K23" s="908" t="s">
        <v>1122</v>
      </c>
      <c r="L23" s="909" t="s">
        <v>1126</v>
      </c>
      <c r="M23" s="908" t="s">
        <v>1122</v>
      </c>
      <c r="N23" s="909" t="s">
        <v>1126</v>
      </c>
      <c r="O23" s="1518"/>
      <c r="P23" s="1513"/>
      <c r="Q23" s="1513"/>
      <c r="R23" s="1513"/>
    </row>
    <row r="24" spans="1:30">
      <c r="A24" s="922" t="s">
        <v>518</v>
      </c>
      <c r="B24" s="911">
        <v>255</v>
      </c>
      <c r="C24" s="911">
        <v>6090765</v>
      </c>
      <c r="D24" s="911">
        <v>1250428.80822</v>
      </c>
      <c r="E24" s="911">
        <v>4728746</v>
      </c>
      <c r="F24" s="911">
        <v>1070077.566571</v>
      </c>
      <c r="G24" s="911">
        <v>18061</v>
      </c>
      <c r="H24" s="911">
        <v>3262.0538445000002</v>
      </c>
      <c r="I24" s="911">
        <v>8036</v>
      </c>
      <c r="J24" s="911">
        <v>1432.2481225000001</v>
      </c>
      <c r="K24" s="911">
        <v>195172465</v>
      </c>
      <c r="L24" s="911">
        <v>10858414.0603892</v>
      </c>
      <c r="M24" s="911">
        <v>175391669</v>
      </c>
      <c r="N24" s="911">
        <v>9484301.4309917521</v>
      </c>
      <c r="O24" s="911">
        <v>381409742</v>
      </c>
      <c r="P24" s="911">
        <v>22667916.168139003</v>
      </c>
      <c r="Q24" s="911">
        <v>215961</v>
      </c>
      <c r="R24" s="911">
        <v>13742.384099999999</v>
      </c>
    </row>
    <row r="25" spans="1:30">
      <c r="A25" s="923" t="s">
        <v>837</v>
      </c>
      <c r="B25" s="914">
        <f>SUM(B26:B37)</f>
        <v>109</v>
      </c>
      <c r="C25" s="914">
        <f t="shared" ref="C25:P25" si="2">SUM(C26:C37)</f>
        <v>7183748</v>
      </c>
      <c r="D25" s="914">
        <f t="shared" si="2"/>
        <v>1325708.9209765003</v>
      </c>
      <c r="E25" s="914">
        <f t="shared" si="2"/>
        <v>5956719</v>
      </c>
      <c r="F25" s="914">
        <f t="shared" si="2"/>
        <v>1210890.6146150001</v>
      </c>
      <c r="G25" s="914">
        <f t="shared" si="2"/>
        <v>39446</v>
      </c>
      <c r="H25" s="914">
        <f t="shared" si="2"/>
        <v>8140.2769574999984</v>
      </c>
      <c r="I25" s="914">
        <f t="shared" si="2"/>
        <v>19638</v>
      </c>
      <c r="J25" s="914">
        <f t="shared" si="2"/>
        <v>4024.2019474999988</v>
      </c>
      <c r="K25" s="914">
        <f t="shared" si="2"/>
        <v>142876585</v>
      </c>
      <c r="L25" s="914">
        <f t="shared" si="2"/>
        <v>7836906.6509379009</v>
      </c>
      <c r="M25" s="914">
        <f t="shared" si="2"/>
        <v>128885596</v>
      </c>
      <c r="N25" s="914">
        <f t="shared" si="2"/>
        <v>7021879.1249433029</v>
      </c>
      <c r="O25" s="914">
        <f t="shared" si="2"/>
        <v>284961732</v>
      </c>
      <c r="P25" s="914">
        <f t="shared" si="2"/>
        <v>17407549.790377706</v>
      </c>
      <c r="Q25" s="914">
        <f>INDEX(Q26:Q37,COUNT(Q26:Q37))</f>
        <v>348834</v>
      </c>
      <c r="R25" s="914">
        <f>INDEX(R26:R37,COUNT(R26:R37))</f>
        <v>26153.878700000001</v>
      </c>
    </row>
    <row r="26" spans="1:30">
      <c r="A26" s="174">
        <v>45412</v>
      </c>
      <c r="B26" s="916">
        <v>22</v>
      </c>
      <c r="C26" s="916">
        <v>1046002</v>
      </c>
      <c r="D26" s="916">
        <v>184944.92</v>
      </c>
      <c r="E26" s="916">
        <v>1225461</v>
      </c>
      <c r="F26" s="916">
        <v>249899.63</v>
      </c>
      <c r="G26" s="916">
        <v>5313</v>
      </c>
      <c r="H26" s="916">
        <v>985.54</v>
      </c>
      <c r="I26" s="916">
        <v>1681</v>
      </c>
      <c r="J26" s="916">
        <v>332.64</v>
      </c>
      <c r="K26" s="916">
        <v>22498827</v>
      </c>
      <c r="L26" s="916">
        <v>1340705.3500000001</v>
      </c>
      <c r="M26" s="916">
        <v>19469765</v>
      </c>
      <c r="N26" s="916">
        <v>1141877.01</v>
      </c>
      <c r="O26" s="916">
        <f t="shared" ref="O26:P28" si="3">C26+E26+G26+I26+K26+M26</f>
        <v>44247049</v>
      </c>
      <c r="P26" s="916">
        <f t="shared" si="3"/>
        <v>2918745.09</v>
      </c>
      <c r="Q26" s="916">
        <v>231301</v>
      </c>
      <c r="R26" s="916">
        <v>20974.923199999997</v>
      </c>
    </row>
    <row r="27" spans="1:30">
      <c r="A27" s="174">
        <v>45443</v>
      </c>
      <c r="B27" s="916">
        <v>23</v>
      </c>
      <c r="C27" s="916">
        <v>1003905</v>
      </c>
      <c r="D27" s="916">
        <v>262297.64</v>
      </c>
      <c r="E27" s="916">
        <v>918768</v>
      </c>
      <c r="F27" s="916">
        <v>263394.46999999997</v>
      </c>
      <c r="G27" s="916">
        <v>5820</v>
      </c>
      <c r="H27" s="916">
        <v>1285.1300000000001</v>
      </c>
      <c r="I27" s="916">
        <v>3848</v>
      </c>
      <c r="J27" s="916">
        <v>839.34</v>
      </c>
      <c r="K27" s="916">
        <v>29146082</v>
      </c>
      <c r="L27" s="916">
        <v>1547729.23</v>
      </c>
      <c r="M27" s="916">
        <v>26517179</v>
      </c>
      <c r="N27" s="916">
        <v>1403775.64</v>
      </c>
      <c r="O27" s="916">
        <f t="shared" si="3"/>
        <v>57595602</v>
      </c>
      <c r="P27" s="916">
        <f t="shared" si="3"/>
        <v>3479321.45</v>
      </c>
      <c r="Q27" s="916">
        <v>251836</v>
      </c>
      <c r="R27" s="916">
        <v>18997.352500000001</v>
      </c>
    </row>
    <row r="28" spans="1:30">
      <c r="A28" s="174">
        <v>45473</v>
      </c>
      <c r="B28" s="916">
        <v>20</v>
      </c>
      <c r="C28" s="924">
        <v>1808477</v>
      </c>
      <c r="D28" s="924">
        <v>280385.33676174999</v>
      </c>
      <c r="E28" s="924">
        <v>1279742</v>
      </c>
      <c r="F28" s="924">
        <v>201103.63772375</v>
      </c>
      <c r="G28" s="924">
        <v>6122</v>
      </c>
      <c r="H28" s="925">
        <v>1321.61247</v>
      </c>
      <c r="I28" s="924">
        <v>2158</v>
      </c>
      <c r="J28" s="925">
        <v>453.29751750000003</v>
      </c>
      <c r="K28" s="924">
        <v>25989049</v>
      </c>
      <c r="L28" s="924">
        <v>1405958.7449968499</v>
      </c>
      <c r="M28" s="924">
        <v>23447060</v>
      </c>
      <c r="N28" s="924">
        <v>1252851.2542268501</v>
      </c>
      <c r="O28" s="916">
        <f t="shared" si="3"/>
        <v>52532608</v>
      </c>
      <c r="P28" s="916">
        <f t="shared" si="3"/>
        <v>3142073.8836967</v>
      </c>
      <c r="Q28" s="924">
        <v>231910</v>
      </c>
      <c r="R28" s="924">
        <v>19628.43</v>
      </c>
    </row>
    <row r="29" spans="1:30">
      <c r="A29" s="174">
        <v>45504</v>
      </c>
      <c r="B29" s="916">
        <v>23</v>
      </c>
      <c r="C29" s="924">
        <v>1315643</v>
      </c>
      <c r="D29" s="924">
        <v>312725.52151475003</v>
      </c>
      <c r="E29" s="924">
        <v>934990</v>
      </c>
      <c r="F29" s="924">
        <v>252540.74249125004</v>
      </c>
      <c r="G29" s="924">
        <v>8699</v>
      </c>
      <c r="H29" s="924">
        <v>1850.0234874999996</v>
      </c>
      <c r="I29" s="924">
        <v>4150</v>
      </c>
      <c r="J29" s="924">
        <v>862.2733300000001</v>
      </c>
      <c r="K29" s="924">
        <v>31314291</v>
      </c>
      <c r="L29" s="924">
        <v>1764100.47614105</v>
      </c>
      <c r="M29" s="924">
        <v>27982511</v>
      </c>
      <c r="N29" s="924">
        <v>1585478.1762164498</v>
      </c>
      <c r="O29" s="924">
        <v>61560284</v>
      </c>
      <c r="P29" s="916">
        <v>3917557.2131810002</v>
      </c>
      <c r="Q29" s="924">
        <v>325242</v>
      </c>
      <c r="R29" s="924">
        <v>23498.207299999998</v>
      </c>
    </row>
    <row r="30" spans="1:30">
      <c r="A30" s="174">
        <v>45535</v>
      </c>
      <c r="B30" s="916">
        <v>21</v>
      </c>
      <c r="C30" s="924">
        <v>2009721</v>
      </c>
      <c r="D30" s="924">
        <v>285355.50270000001</v>
      </c>
      <c r="E30" s="924">
        <v>1597758</v>
      </c>
      <c r="F30" s="924">
        <v>243952.13440000013</v>
      </c>
      <c r="G30" s="924">
        <v>13492</v>
      </c>
      <c r="H30" s="924">
        <v>2697.9709999999986</v>
      </c>
      <c r="I30" s="924">
        <v>7801</v>
      </c>
      <c r="J30" s="924">
        <v>1536.6510999999989</v>
      </c>
      <c r="K30" s="924">
        <v>33928336</v>
      </c>
      <c r="L30" s="924">
        <v>1778412.8498000009</v>
      </c>
      <c r="M30" s="924">
        <v>31469081</v>
      </c>
      <c r="N30" s="924">
        <v>1637897.0445000031</v>
      </c>
      <c r="O30" s="924">
        <v>69026189</v>
      </c>
      <c r="P30" s="916">
        <v>3949852.1535000042</v>
      </c>
      <c r="Q30" s="924">
        <v>348834</v>
      </c>
      <c r="R30" s="924">
        <v>26153.878700000001</v>
      </c>
    </row>
    <row r="31" spans="1:30">
      <c r="A31" s="174">
        <v>45565</v>
      </c>
      <c r="B31" s="916"/>
      <c r="C31" s="916"/>
      <c r="D31" s="916"/>
      <c r="E31" s="916"/>
      <c r="F31" s="916"/>
      <c r="G31" s="916"/>
      <c r="H31" s="916"/>
      <c r="I31" s="916"/>
      <c r="J31" s="916"/>
      <c r="K31" s="916"/>
      <c r="L31" s="916"/>
      <c r="M31" s="916"/>
      <c r="N31" s="916"/>
      <c r="O31" s="916"/>
      <c r="P31" s="916"/>
      <c r="Q31" s="916"/>
      <c r="R31" s="916"/>
    </row>
    <row r="32" spans="1:30">
      <c r="A32" s="174">
        <v>45596</v>
      </c>
      <c r="B32" s="916"/>
      <c r="C32" s="916"/>
      <c r="D32" s="916"/>
      <c r="E32" s="916"/>
      <c r="F32" s="916"/>
      <c r="G32" s="916"/>
      <c r="H32" s="916"/>
      <c r="I32" s="916"/>
      <c r="J32" s="916"/>
      <c r="K32" s="916"/>
      <c r="L32" s="916"/>
      <c r="M32" s="916"/>
      <c r="N32" s="916"/>
      <c r="O32" s="916"/>
      <c r="P32" s="916"/>
      <c r="Q32" s="916"/>
      <c r="R32" s="916"/>
    </row>
    <row r="33" spans="1:20">
      <c r="A33" s="174">
        <v>45626</v>
      </c>
      <c r="B33" s="916"/>
      <c r="C33" s="916"/>
      <c r="D33" s="916"/>
      <c r="E33" s="916"/>
      <c r="F33" s="916"/>
      <c r="G33" s="916"/>
      <c r="H33" s="916"/>
      <c r="I33" s="916"/>
      <c r="J33" s="916"/>
      <c r="K33" s="916"/>
      <c r="L33" s="916"/>
      <c r="M33" s="916"/>
      <c r="N33" s="916"/>
      <c r="O33" s="916"/>
      <c r="P33" s="916"/>
      <c r="Q33" s="916"/>
      <c r="R33" s="916"/>
    </row>
    <row r="34" spans="1:20">
      <c r="A34" s="174">
        <v>45657</v>
      </c>
      <c r="B34" s="916"/>
      <c r="C34" s="916"/>
      <c r="D34" s="916"/>
      <c r="E34" s="916"/>
      <c r="F34" s="916"/>
      <c r="G34" s="916"/>
      <c r="H34" s="916"/>
      <c r="I34" s="916"/>
      <c r="J34" s="916"/>
      <c r="K34" s="916"/>
      <c r="L34" s="916"/>
      <c r="M34" s="916"/>
      <c r="N34" s="916"/>
      <c r="O34" s="916"/>
      <c r="P34" s="916"/>
      <c r="Q34" s="916"/>
      <c r="R34" s="916"/>
    </row>
    <row r="35" spans="1:20">
      <c r="A35" s="174">
        <v>45688</v>
      </c>
      <c r="B35" s="916"/>
      <c r="C35" s="916"/>
      <c r="D35" s="916"/>
      <c r="E35" s="916"/>
      <c r="F35" s="916"/>
      <c r="G35" s="916"/>
      <c r="H35" s="916"/>
      <c r="I35" s="916"/>
      <c r="J35" s="916"/>
      <c r="K35" s="916"/>
      <c r="L35" s="916"/>
      <c r="M35" s="916"/>
      <c r="N35" s="916"/>
      <c r="O35" s="916"/>
      <c r="P35" s="916"/>
      <c r="Q35" s="916"/>
      <c r="R35" s="916"/>
    </row>
    <row r="36" spans="1:20">
      <c r="A36" s="174">
        <v>45716</v>
      </c>
      <c r="B36" s="916"/>
      <c r="C36" s="916"/>
      <c r="D36" s="916"/>
      <c r="E36" s="916"/>
      <c r="F36" s="916"/>
      <c r="G36" s="916"/>
      <c r="H36" s="916"/>
      <c r="I36" s="916"/>
      <c r="J36" s="916"/>
      <c r="K36" s="916"/>
      <c r="L36" s="916"/>
      <c r="M36" s="916"/>
      <c r="N36" s="916"/>
      <c r="O36" s="916"/>
      <c r="P36" s="916"/>
      <c r="Q36" s="916"/>
      <c r="R36" s="916"/>
    </row>
    <row r="37" spans="1:20">
      <c r="A37" s="174">
        <v>45747</v>
      </c>
      <c r="B37" s="916"/>
      <c r="C37" s="916"/>
      <c r="D37" s="916"/>
      <c r="E37" s="916"/>
      <c r="F37" s="916"/>
      <c r="G37" s="916"/>
      <c r="H37" s="916"/>
      <c r="I37" s="916"/>
      <c r="J37" s="916"/>
      <c r="K37" s="916"/>
      <c r="L37" s="916"/>
      <c r="M37" s="916"/>
      <c r="N37" s="916"/>
      <c r="O37" s="916"/>
      <c r="P37" s="916"/>
      <c r="Q37" s="916"/>
      <c r="R37" s="916"/>
      <c r="S37" s="926"/>
      <c r="T37" s="926"/>
    </row>
    <row r="38" spans="1:20" s="331" customFormat="1">
      <c r="A38" s="743" t="str">
        <f>"$ indicates as on "&amp;TEXT(IF(COUNT(B26:B37)=1,A26,IF(COUNT(B26:B37)=2,A27,IF(COUNT(B26:B37)=3,A28,IF(COUNT(B26:B37)=4,A29,IF(COUNT(B26:B37)=5,A30,IF(COUNT(B26:B37)=6,A31,IF(COUNT(B26:B37)=7,A32,IF(COUNT(B26:B37)=8,A33,IF(COUNT(B26:B37)=9,A34,IF(COUNT(B26:B37)=10,A35,IF(COUNT(B26:B37)=11,A36,A37))))))))))),"mmmm dd, yyyy")</f>
        <v>$ indicates as on August 31, 2024</v>
      </c>
      <c r="B38" s="336"/>
      <c r="C38" s="336"/>
      <c r="D38" s="336"/>
      <c r="E38" s="336"/>
      <c r="F38" s="336"/>
      <c r="G38" s="336"/>
      <c r="H38" s="336"/>
      <c r="I38" s="336"/>
      <c r="J38" s="336"/>
      <c r="K38" s="336"/>
      <c r="L38" s="336"/>
      <c r="M38" s="336"/>
      <c r="N38" s="336"/>
      <c r="O38" s="336"/>
      <c r="P38" s="336"/>
      <c r="Q38" s="336"/>
      <c r="R38" s="336"/>
      <c r="S38" s="336"/>
      <c r="T38" s="336"/>
    </row>
    <row r="39" spans="1:20" s="331" customFormat="1">
      <c r="A39" s="898" t="s">
        <v>1110</v>
      </c>
      <c r="B39" s="336"/>
      <c r="C39" s="336"/>
      <c r="D39" s="336"/>
      <c r="E39" s="336"/>
      <c r="F39" s="336"/>
      <c r="G39" s="336"/>
      <c r="H39" s="336"/>
      <c r="I39" s="336"/>
      <c r="J39" s="336"/>
      <c r="K39" s="336"/>
      <c r="L39" s="336"/>
      <c r="M39" s="336"/>
      <c r="N39" s="336"/>
      <c r="O39" s="336"/>
      <c r="P39" s="336"/>
      <c r="Q39" s="336"/>
      <c r="R39" s="336"/>
      <c r="S39" s="336"/>
      <c r="T39" s="336"/>
    </row>
    <row r="40" spans="1:20" s="331" customFormat="1">
      <c r="A40" s="927" t="s">
        <v>1135</v>
      </c>
      <c r="B40" s="336"/>
      <c r="C40" s="336"/>
      <c r="D40" s="336"/>
      <c r="E40" s="336"/>
      <c r="F40" s="336"/>
      <c r="G40" s="336"/>
      <c r="H40" s="336"/>
      <c r="I40" s="336"/>
      <c r="J40" s="336"/>
      <c r="K40" s="336"/>
      <c r="L40" s="336"/>
      <c r="M40" s="336"/>
      <c r="N40" s="336"/>
      <c r="O40" s="336"/>
      <c r="P40" s="336"/>
      <c r="Q40" s="336"/>
      <c r="R40" s="336"/>
      <c r="S40" s="336"/>
      <c r="T40" s="336"/>
    </row>
  </sheetData>
  <mergeCells count="31">
    <mergeCell ref="A20:R20"/>
    <mergeCell ref="A1:T1"/>
    <mergeCell ref="A2:T2"/>
    <mergeCell ref="A3:A4"/>
    <mergeCell ref="B3:B4"/>
    <mergeCell ref="C3:D3"/>
    <mergeCell ref="E3:F3"/>
    <mergeCell ref="G3:H3"/>
    <mergeCell ref="I3:J3"/>
    <mergeCell ref="K3:L3"/>
    <mergeCell ref="M3:N3"/>
    <mergeCell ref="O3:P3"/>
    <mergeCell ref="Q3:R3"/>
    <mergeCell ref="S3:T3"/>
    <mergeCell ref="A21:A23"/>
    <mergeCell ref="B21:B23"/>
    <mergeCell ref="C21:F21"/>
    <mergeCell ref="G21:J21"/>
    <mergeCell ref="K21:N21"/>
    <mergeCell ref="O21:P21"/>
    <mergeCell ref="R22:R23"/>
    <mergeCell ref="Q21:R21"/>
    <mergeCell ref="C22:D22"/>
    <mergeCell ref="E22:F22"/>
    <mergeCell ref="G22:H22"/>
    <mergeCell ref="I22:J22"/>
    <mergeCell ref="K22:L22"/>
    <mergeCell ref="M22:N22"/>
    <mergeCell ref="O22:O23"/>
    <mergeCell ref="P22:P23"/>
    <mergeCell ref="Q22:Q23"/>
  </mergeCells>
  <printOptions horizontalCentered="1"/>
  <pageMargins left="0.7" right="0.7" top="0.75" bottom="0.75" header="0.3" footer="0.3"/>
  <pageSetup scale="57" fitToHeight="0" orientation="landscape" r:id="rId1"/>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V21"/>
  <sheetViews>
    <sheetView workbookViewId="0">
      <selection sqref="A1:T1"/>
    </sheetView>
  </sheetViews>
  <sheetFormatPr defaultColWidth="9.140625" defaultRowHeight="12.75"/>
  <cols>
    <col min="1" max="1" width="13.140625" style="928" customWidth="1"/>
    <col min="2" max="2" width="7.140625" style="928" customWidth="1"/>
    <col min="3" max="4" width="10.5703125" style="928" customWidth="1"/>
    <col min="5" max="5" width="9.140625" style="928" customWidth="1"/>
    <col min="6" max="6" width="9.85546875" style="928" customWidth="1"/>
    <col min="7" max="20" width="8.85546875" style="928" customWidth="1"/>
    <col min="21" max="23" width="10.5703125" style="928" customWidth="1"/>
    <col min="24" max="16384" width="9.140625" style="928"/>
  </cols>
  <sheetData>
    <row r="1" spans="1:22" ht="15">
      <c r="A1" s="1525" t="s">
        <v>1136</v>
      </c>
      <c r="B1" s="1525"/>
      <c r="C1" s="1525"/>
      <c r="D1" s="1525"/>
      <c r="E1" s="1525"/>
      <c r="F1" s="1525"/>
      <c r="G1" s="1525"/>
      <c r="H1" s="1525"/>
      <c r="I1" s="1525"/>
      <c r="J1" s="1525"/>
      <c r="K1" s="1525"/>
      <c r="L1" s="1525"/>
      <c r="M1" s="1525"/>
      <c r="N1" s="1525"/>
      <c r="O1" s="1525"/>
      <c r="P1" s="1525"/>
      <c r="Q1" s="1525"/>
      <c r="R1" s="1525"/>
      <c r="S1" s="1525"/>
      <c r="T1" s="1525"/>
      <c r="U1" s="336"/>
      <c r="V1" s="336"/>
    </row>
    <row r="2" spans="1:22" ht="16.5" customHeight="1">
      <c r="A2" s="1512" t="s">
        <v>1112</v>
      </c>
      <c r="B2" s="1512" t="s">
        <v>1113</v>
      </c>
      <c r="C2" s="1536" t="s">
        <v>1086</v>
      </c>
      <c r="D2" s="1537"/>
      <c r="E2" s="1537"/>
      <c r="F2" s="1537"/>
      <c r="G2" s="1537"/>
      <c r="H2" s="1537"/>
      <c r="I2" s="1537"/>
      <c r="J2" s="1537"/>
      <c r="K2" s="1537"/>
      <c r="L2" s="1538"/>
      <c r="M2" s="1536" t="s">
        <v>1128</v>
      </c>
      <c r="N2" s="1537"/>
      <c r="O2" s="1537"/>
      <c r="P2" s="1537"/>
      <c r="Q2" s="1537"/>
      <c r="R2" s="1537"/>
      <c r="S2" s="1537"/>
      <c r="T2" s="1538"/>
      <c r="U2" s="336"/>
      <c r="V2" s="336"/>
    </row>
    <row r="3" spans="1:22" ht="62.25" customHeight="1">
      <c r="A3" s="1519"/>
      <c r="B3" s="1519"/>
      <c r="C3" s="1532" t="s">
        <v>1137</v>
      </c>
      <c r="D3" s="1533"/>
      <c r="E3" s="1532" t="s">
        <v>1138</v>
      </c>
      <c r="F3" s="1533"/>
      <c r="G3" s="1532" t="s">
        <v>1139</v>
      </c>
      <c r="H3" s="1533"/>
      <c r="I3" s="1532" t="s">
        <v>1120</v>
      </c>
      <c r="J3" s="1533"/>
      <c r="K3" s="1534" t="s">
        <v>1131</v>
      </c>
      <c r="L3" s="1535"/>
      <c r="M3" s="1532" t="s">
        <v>1140</v>
      </c>
      <c r="N3" s="1533"/>
      <c r="O3" s="1532" t="s">
        <v>1141</v>
      </c>
      <c r="P3" s="1533"/>
      <c r="Q3" s="1532" t="s">
        <v>1130</v>
      </c>
      <c r="R3" s="1533"/>
      <c r="S3" s="1534" t="s">
        <v>1131</v>
      </c>
      <c r="T3" s="1535"/>
      <c r="U3" s="331"/>
      <c r="V3" s="331"/>
    </row>
    <row r="4" spans="1:22" s="932" customFormat="1" ht="63.75" customHeight="1">
      <c r="A4" s="1513"/>
      <c r="B4" s="1513"/>
      <c r="C4" s="929" t="s">
        <v>1122</v>
      </c>
      <c r="D4" s="930" t="s">
        <v>1123</v>
      </c>
      <c r="E4" s="929" t="s">
        <v>1122</v>
      </c>
      <c r="F4" s="930" t="s">
        <v>1123</v>
      </c>
      <c r="G4" s="929" t="s">
        <v>1122</v>
      </c>
      <c r="H4" s="930" t="s">
        <v>1123</v>
      </c>
      <c r="I4" s="929" t="s">
        <v>1122</v>
      </c>
      <c r="J4" s="930" t="s">
        <v>1123</v>
      </c>
      <c r="K4" s="929" t="s">
        <v>1122</v>
      </c>
      <c r="L4" s="931" t="s">
        <v>1127</v>
      </c>
      <c r="M4" s="929" t="s">
        <v>1122</v>
      </c>
      <c r="N4" s="930" t="s">
        <v>1123</v>
      </c>
      <c r="O4" s="929" t="s">
        <v>1122</v>
      </c>
      <c r="P4" s="930" t="s">
        <v>1123</v>
      </c>
      <c r="Q4" s="929" t="s">
        <v>1122</v>
      </c>
      <c r="R4" s="930" t="s">
        <v>1123</v>
      </c>
      <c r="S4" s="929" t="s">
        <v>1122</v>
      </c>
      <c r="T4" s="931" t="s">
        <v>1142</v>
      </c>
      <c r="U4" s="331"/>
      <c r="V4" s="331"/>
    </row>
    <row r="5" spans="1:22" s="934" customFormat="1" ht="15.75" customHeight="1">
      <c r="A5" s="922" t="s">
        <v>518</v>
      </c>
      <c r="B5" s="933">
        <v>244</v>
      </c>
      <c r="C5" s="933">
        <v>4987448</v>
      </c>
      <c r="D5" s="933">
        <v>205162.15</v>
      </c>
      <c r="E5" s="933">
        <v>0</v>
      </c>
      <c r="F5" s="933">
        <v>0</v>
      </c>
      <c r="G5" s="933">
        <v>20603</v>
      </c>
      <c r="H5" s="933">
        <v>940.49365</v>
      </c>
      <c r="I5" s="933">
        <v>5008051</v>
      </c>
      <c r="J5" s="933">
        <v>206101.64578000002</v>
      </c>
      <c r="K5" s="933">
        <v>55916</v>
      </c>
      <c r="L5" s="933">
        <v>2082</v>
      </c>
      <c r="M5" s="933">
        <v>283</v>
      </c>
      <c r="N5" s="933">
        <v>9.8859999999999992</v>
      </c>
      <c r="O5" s="933">
        <v>0</v>
      </c>
      <c r="P5" s="933">
        <v>0</v>
      </c>
      <c r="Q5" s="933">
        <v>283</v>
      </c>
      <c r="R5" s="933">
        <v>9.8860600000000005</v>
      </c>
      <c r="S5" s="933">
        <v>0</v>
      </c>
      <c r="T5" s="933">
        <v>0</v>
      </c>
      <c r="U5" s="331"/>
      <c r="V5" s="331"/>
    </row>
    <row r="6" spans="1:22" s="934" customFormat="1" ht="15.75" customHeight="1">
      <c r="A6" s="923" t="s">
        <v>837</v>
      </c>
      <c r="B6" s="935">
        <f>SUM(B7:B18)</f>
        <v>103</v>
      </c>
      <c r="C6" s="935">
        <f t="shared" ref="C6:R6" si="0">SUM(C7:C18)</f>
        <v>1618816</v>
      </c>
      <c r="D6" s="935">
        <f t="shared" si="0"/>
        <v>63032</v>
      </c>
      <c r="E6" s="935">
        <f t="shared" si="0"/>
        <v>0</v>
      </c>
      <c r="F6" s="935">
        <f t="shared" si="0"/>
        <v>0</v>
      </c>
      <c r="G6" s="935">
        <f t="shared" si="0"/>
        <v>16</v>
      </c>
      <c r="H6" s="935">
        <f t="shared" si="0"/>
        <v>1</v>
      </c>
      <c r="I6" s="935">
        <f t="shared" si="0"/>
        <v>1618832</v>
      </c>
      <c r="J6" s="935">
        <f t="shared" si="0"/>
        <v>63033</v>
      </c>
      <c r="K6" s="935">
        <f t="shared" si="0"/>
        <v>254826</v>
      </c>
      <c r="L6" s="935">
        <f t="shared" si="0"/>
        <v>10436</v>
      </c>
      <c r="M6" s="935">
        <f t="shared" si="0"/>
        <v>23308</v>
      </c>
      <c r="N6" s="935">
        <f t="shared" si="0"/>
        <v>646.91699999999992</v>
      </c>
      <c r="O6" s="935">
        <f t="shared" si="0"/>
        <v>15363</v>
      </c>
      <c r="P6" s="935">
        <f t="shared" si="0"/>
        <v>417.88509800000003</v>
      </c>
      <c r="Q6" s="935">
        <f t="shared" si="0"/>
        <v>38671</v>
      </c>
      <c r="R6" s="935">
        <f t="shared" si="0"/>
        <v>1064.8031700000001</v>
      </c>
      <c r="S6" s="933">
        <v>1562</v>
      </c>
      <c r="T6" s="933">
        <v>43.5</v>
      </c>
      <c r="U6" s="331"/>
      <c r="V6" s="331"/>
    </row>
    <row r="7" spans="1:22" s="934" customFormat="1" ht="15.75" customHeight="1">
      <c r="A7" s="174">
        <v>45412</v>
      </c>
      <c r="B7" s="936">
        <v>20</v>
      </c>
      <c r="C7" s="936">
        <v>342777</v>
      </c>
      <c r="D7" s="936">
        <v>12983</v>
      </c>
      <c r="E7" s="936">
        <v>0</v>
      </c>
      <c r="F7" s="936">
        <v>0</v>
      </c>
      <c r="G7" s="936">
        <v>16</v>
      </c>
      <c r="H7" s="936">
        <v>1</v>
      </c>
      <c r="I7" s="936">
        <f t="shared" ref="I7:J9" si="1">C7+E7+G7</f>
        <v>342793</v>
      </c>
      <c r="J7" s="936">
        <f t="shared" si="1"/>
        <v>12984</v>
      </c>
      <c r="K7" s="936">
        <v>51525</v>
      </c>
      <c r="L7" s="936">
        <v>2081</v>
      </c>
      <c r="M7" s="936">
        <v>0</v>
      </c>
      <c r="N7" s="936">
        <v>0</v>
      </c>
      <c r="O7" s="936">
        <v>0</v>
      </c>
      <c r="P7" s="936">
        <v>0</v>
      </c>
      <c r="Q7" s="936">
        <f t="shared" ref="Q7:R9" si="2">M7+O7</f>
        <v>0</v>
      </c>
      <c r="R7" s="936">
        <f t="shared" si="2"/>
        <v>0</v>
      </c>
      <c r="S7" s="936">
        <v>0</v>
      </c>
      <c r="T7" s="936">
        <v>0</v>
      </c>
      <c r="U7" s="331"/>
      <c r="V7" s="331"/>
    </row>
    <row r="8" spans="1:22" s="934" customFormat="1" ht="15.75" customHeight="1">
      <c r="A8" s="174">
        <v>45443</v>
      </c>
      <c r="B8" s="936">
        <v>21</v>
      </c>
      <c r="C8" s="936">
        <v>325130</v>
      </c>
      <c r="D8" s="936">
        <v>13163</v>
      </c>
      <c r="E8" s="936">
        <v>0</v>
      </c>
      <c r="F8" s="936">
        <v>0</v>
      </c>
      <c r="G8" s="936">
        <v>0</v>
      </c>
      <c r="H8" s="936">
        <v>0</v>
      </c>
      <c r="I8" s="936">
        <f t="shared" si="1"/>
        <v>325130</v>
      </c>
      <c r="J8" s="936">
        <f t="shared" si="1"/>
        <v>13163</v>
      </c>
      <c r="K8" s="936">
        <v>51343</v>
      </c>
      <c r="L8" s="936">
        <v>2103</v>
      </c>
      <c r="M8" s="936">
        <v>0</v>
      </c>
      <c r="N8" s="936">
        <v>0</v>
      </c>
      <c r="O8" s="936">
        <v>0</v>
      </c>
      <c r="P8" s="936">
        <v>0</v>
      </c>
      <c r="Q8" s="936">
        <f t="shared" si="2"/>
        <v>0</v>
      </c>
      <c r="R8" s="936">
        <f t="shared" si="2"/>
        <v>0</v>
      </c>
      <c r="S8" s="936">
        <v>0</v>
      </c>
      <c r="T8" s="936">
        <v>0</v>
      </c>
      <c r="U8" s="331"/>
      <c r="V8" s="331"/>
    </row>
    <row r="9" spans="1:22" s="934" customFormat="1" ht="15.75" customHeight="1">
      <c r="A9" s="174">
        <v>45473</v>
      </c>
      <c r="B9" s="936">
        <v>19</v>
      </c>
      <c r="C9" s="936">
        <v>274301</v>
      </c>
      <c r="D9" s="936">
        <v>11020</v>
      </c>
      <c r="E9" s="936">
        <v>0</v>
      </c>
      <c r="F9" s="936">
        <v>0</v>
      </c>
      <c r="G9" s="936">
        <v>0</v>
      </c>
      <c r="H9" s="936">
        <v>0</v>
      </c>
      <c r="I9" s="936">
        <f t="shared" si="1"/>
        <v>274301</v>
      </c>
      <c r="J9" s="936">
        <f t="shared" si="1"/>
        <v>11020</v>
      </c>
      <c r="K9" s="936">
        <v>50660</v>
      </c>
      <c r="L9" s="936">
        <v>2093</v>
      </c>
      <c r="M9" s="936">
        <v>81</v>
      </c>
      <c r="N9" s="936">
        <v>2.2559999999999998</v>
      </c>
      <c r="O9" s="936">
        <v>48</v>
      </c>
      <c r="P9" s="936">
        <v>1.2592699999999999</v>
      </c>
      <c r="Q9" s="936">
        <f t="shared" si="2"/>
        <v>129</v>
      </c>
      <c r="R9" s="936">
        <f t="shared" si="2"/>
        <v>3.5152699999999997</v>
      </c>
      <c r="S9" s="936">
        <v>79</v>
      </c>
      <c r="T9" s="936">
        <v>2.16</v>
      </c>
      <c r="U9" s="331"/>
      <c r="V9" s="331"/>
    </row>
    <row r="10" spans="1:22" s="934" customFormat="1" ht="15.75" customHeight="1">
      <c r="A10" s="174">
        <v>45504</v>
      </c>
      <c r="B10" s="936">
        <v>22</v>
      </c>
      <c r="C10" s="936">
        <v>352355</v>
      </c>
      <c r="D10" s="936">
        <v>13271</v>
      </c>
      <c r="E10" s="936">
        <v>0</v>
      </c>
      <c r="F10" s="936">
        <v>0</v>
      </c>
      <c r="G10" s="936">
        <v>0</v>
      </c>
      <c r="H10" s="936">
        <v>0</v>
      </c>
      <c r="I10" s="936">
        <v>352355</v>
      </c>
      <c r="J10" s="936">
        <v>13271</v>
      </c>
      <c r="K10" s="936">
        <v>53622</v>
      </c>
      <c r="L10" s="936">
        <v>2281</v>
      </c>
      <c r="M10" s="936">
        <v>10195</v>
      </c>
      <c r="N10" s="936">
        <v>288.73399999999998</v>
      </c>
      <c r="O10" s="936">
        <v>4499</v>
      </c>
      <c r="P10" s="936">
        <v>124.140337</v>
      </c>
      <c r="Q10" s="936">
        <v>14694</v>
      </c>
      <c r="R10" s="936">
        <v>412.87495000000001</v>
      </c>
      <c r="S10" s="936">
        <v>1057</v>
      </c>
      <c r="T10" s="936">
        <v>30.56</v>
      </c>
      <c r="U10" s="331"/>
      <c r="V10" s="331"/>
    </row>
    <row r="11" spans="1:22" s="934" customFormat="1" ht="15.75" customHeight="1">
      <c r="A11" s="174">
        <v>45535</v>
      </c>
      <c r="B11" s="936">
        <v>21</v>
      </c>
      <c r="C11" s="936">
        <v>324253</v>
      </c>
      <c r="D11" s="936">
        <v>12595</v>
      </c>
      <c r="E11" s="936">
        <v>0</v>
      </c>
      <c r="F11" s="936">
        <v>0</v>
      </c>
      <c r="G11" s="936">
        <v>0</v>
      </c>
      <c r="H11" s="936">
        <v>0</v>
      </c>
      <c r="I11" s="936">
        <v>324253</v>
      </c>
      <c r="J11" s="936">
        <v>12595</v>
      </c>
      <c r="K11" s="936">
        <v>47676</v>
      </c>
      <c r="L11" s="936">
        <v>1878</v>
      </c>
      <c r="M11" s="936">
        <v>13032</v>
      </c>
      <c r="N11" s="936">
        <v>355.92700000000002</v>
      </c>
      <c r="O11" s="936">
        <v>10816</v>
      </c>
      <c r="P11" s="936">
        <v>292.48549100000002</v>
      </c>
      <c r="Q11" s="936">
        <v>23848</v>
      </c>
      <c r="R11" s="936">
        <v>648.41295000000002</v>
      </c>
      <c r="S11" s="936">
        <v>1562</v>
      </c>
      <c r="T11" s="936">
        <v>43.5</v>
      </c>
      <c r="U11" s="331"/>
      <c r="V11" s="331"/>
    </row>
    <row r="12" spans="1:22" s="934" customFormat="1" ht="15.75" customHeight="1">
      <c r="A12" s="174">
        <v>45565</v>
      </c>
      <c r="B12" s="936"/>
      <c r="C12" s="936"/>
      <c r="D12" s="936"/>
      <c r="E12" s="936"/>
      <c r="F12" s="936"/>
      <c r="G12" s="936"/>
      <c r="H12" s="936"/>
      <c r="I12" s="936"/>
      <c r="J12" s="936"/>
      <c r="K12" s="936"/>
      <c r="L12" s="936"/>
      <c r="M12" s="936"/>
      <c r="N12" s="936"/>
      <c r="O12" s="936"/>
      <c r="P12" s="936"/>
      <c r="Q12" s="936"/>
      <c r="R12" s="936"/>
      <c r="S12" s="936"/>
      <c r="T12" s="936"/>
      <c r="U12" s="331"/>
      <c r="V12" s="331"/>
    </row>
    <row r="13" spans="1:22" s="934" customFormat="1" ht="15">
      <c r="A13" s="174">
        <v>45596</v>
      </c>
      <c r="B13" s="936"/>
      <c r="C13" s="936"/>
      <c r="D13" s="936"/>
      <c r="E13" s="936"/>
      <c r="F13" s="936"/>
      <c r="G13" s="936"/>
      <c r="H13" s="936"/>
      <c r="I13" s="936"/>
      <c r="J13" s="936"/>
      <c r="K13" s="936"/>
      <c r="L13" s="936"/>
      <c r="M13" s="936"/>
      <c r="N13" s="936"/>
      <c r="O13" s="936"/>
      <c r="P13" s="936"/>
      <c r="Q13" s="936"/>
      <c r="R13" s="936"/>
      <c r="S13" s="936"/>
      <c r="T13" s="936"/>
      <c r="U13" s="331"/>
      <c r="V13" s="331"/>
    </row>
    <row r="14" spans="1:22" s="934" customFormat="1" ht="15">
      <c r="A14" s="174">
        <v>45626</v>
      </c>
      <c r="B14" s="936"/>
      <c r="C14" s="936"/>
      <c r="D14" s="936"/>
      <c r="E14" s="936"/>
      <c r="F14" s="936"/>
      <c r="G14" s="936"/>
      <c r="H14" s="936"/>
      <c r="I14" s="936"/>
      <c r="J14" s="936"/>
      <c r="K14" s="936"/>
      <c r="L14" s="936"/>
      <c r="M14" s="936"/>
      <c r="N14" s="936"/>
      <c r="O14" s="936"/>
      <c r="P14" s="936"/>
      <c r="Q14" s="936"/>
      <c r="R14" s="936"/>
      <c r="S14" s="936"/>
      <c r="T14" s="936"/>
      <c r="U14" s="331"/>
      <c r="V14" s="331"/>
    </row>
    <row r="15" spans="1:22" s="934" customFormat="1" ht="15">
      <c r="A15" s="174">
        <v>45657</v>
      </c>
      <c r="B15" s="936"/>
      <c r="C15" s="936"/>
      <c r="D15" s="936"/>
      <c r="E15" s="936"/>
      <c r="F15" s="936"/>
      <c r="G15" s="936"/>
      <c r="H15" s="936"/>
      <c r="I15" s="936"/>
      <c r="J15" s="936"/>
      <c r="K15" s="936"/>
      <c r="L15" s="936"/>
      <c r="M15" s="936"/>
      <c r="N15" s="936"/>
      <c r="O15" s="936"/>
      <c r="P15" s="936"/>
      <c r="Q15" s="936"/>
      <c r="R15" s="936"/>
      <c r="S15" s="936"/>
      <c r="T15" s="936"/>
      <c r="U15" s="331"/>
      <c r="V15" s="331"/>
    </row>
    <row r="16" spans="1:22" s="934" customFormat="1" ht="15">
      <c r="A16" s="174">
        <v>45688</v>
      </c>
      <c r="B16" s="937"/>
      <c r="C16" s="937"/>
      <c r="D16" s="937"/>
      <c r="E16" s="937"/>
      <c r="F16" s="937"/>
      <c r="G16" s="937"/>
      <c r="H16" s="937"/>
      <c r="I16" s="937"/>
      <c r="J16" s="937"/>
      <c r="K16" s="937"/>
      <c r="L16" s="937"/>
      <c r="M16" s="937"/>
      <c r="N16" s="937"/>
      <c r="O16" s="937"/>
      <c r="P16" s="937"/>
      <c r="Q16" s="937"/>
      <c r="R16" s="937"/>
      <c r="S16" s="937"/>
      <c r="T16" s="937"/>
      <c r="U16" s="331"/>
      <c r="V16" s="331"/>
    </row>
    <row r="17" spans="1:22" s="934" customFormat="1" ht="15">
      <c r="A17" s="174">
        <v>45716</v>
      </c>
      <c r="B17" s="936"/>
      <c r="C17" s="936"/>
      <c r="D17" s="936"/>
      <c r="E17" s="936"/>
      <c r="F17" s="936"/>
      <c r="G17" s="936"/>
      <c r="H17" s="936"/>
      <c r="I17" s="936"/>
      <c r="J17" s="936"/>
      <c r="K17" s="936"/>
      <c r="L17" s="936"/>
      <c r="M17" s="936"/>
      <c r="N17" s="936"/>
      <c r="O17" s="936"/>
      <c r="P17" s="936"/>
      <c r="Q17" s="936"/>
      <c r="R17" s="936"/>
      <c r="S17" s="936"/>
      <c r="T17" s="936"/>
      <c r="U17" s="331"/>
      <c r="V17" s="331"/>
    </row>
    <row r="18" spans="1:22" s="880" customFormat="1" ht="15">
      <c r="A18" s="174">
        <v>45747</v>
      </c>
      <c r="B18" s="937"/>
      <c r="C18" s="937"/>
      <c r="D18" s="937"/>
      <c r="E18" s="937"/>
      <c r="F18" s="937"/>
      <c r="G18" s="937"/>
      <c r="H18" s="937"/>
      <c r="I18" s="937"/>
      <c r="J18" s="937"/>
      <c r="K18" s="937"/>
      <c r="L18" s="937"/>
      <c r="M18" s="937"/>
      <c r="N18" s="937"/>
      <c r="O18" s="937"/>
      <c r="P18" s="937"/>
      <c r="Q18" s="937"/>
      <c r="R18" s="937"/>
      <c r="S18" s="937"/>
      <c r="T18" s="937"/>
      <c r="U18" s="331"/>
      <c r="V18" s="331"/>
    </row>
    <row r="19" spans="1:22" s="880" customFormat="1" ht="15">
      <c r="A19" s="743" t="str">
        <f>"$ indicates as on "&amp;TEXT(IF(COUNT(B7:B18)=1,A7,IF(COUNT(B7:B18)=2,A8,IF(COUNT(B7:B18)=3,A9,IF(COUNT(B7:B18)=4,A10,IF(COUNT(B7:B18)=5,A11,IF(COUNT(B7:B18)=6,A12,IF(COUNT(B7:B18)=7,A13,IF(COUNT(B7:B18)=8,A14,IF(COUNT(B7:B18)=9,A15,IF(COUNT(B7:B18)=10,A16,IF(COUNT(B7:B18)=11,A17,A18))))))))))),"mmmm dd, yyyy")</f>
        <v>$ indicates as on August 31, 2024</v>
      </c>
      <c r="B19" s="1153"/>
      <c r="C19" s="1153"/>
      <c r="D19" s="1153"/>
      <c r="E19" s="1153"/>
      <c r="F19" s="1153"/>
      <c r="G19" s="1153"/>
      <c r="H19" s="1153"/>
      <c r="I19" s="1153"/>
      <c r="J19" s="1153"/>
      <c r="K19" s="1153"/>
      <c r="L19" s="1153"/>
      <c r="M19" s="1153"/>
      <c r="N19" s="1153"/>
      <c r="O19" s="1153"/>
      <c r="P19" s="1153"/>
      <c r="Q19" s="1153"/>
      <c r="R19" s="1153"/>
      <c r="S19" s="1153"/>
      <c r="T19" s="1153"/>
      <c r="U19" s="331"/>
      <c r="V19" s="331"/>
    </row>
    <row r="20" spans="1:22" ht="18.75" customHeight="1">
      <c r="A20" s="912" t="s">
        <v>1143</v>
      </c>
      <c r="B20" s="336"/>
      <c r="C20" s="336"/>
      <c r="D20" s="336"/>
      <c r="E20" s="336"/>
      <c r="F20" s="336"/>
      <c r="G20" s="336"/>
      <c r="H20" s="336"/>
      <c r="I20" s="336"/>
      <c r="J20" s="37"/>
      <c r="K20" s="336"/>
      <c r="L20" s="336"/>
      <c r="M20" s="336"/>
      <c r="N20" s="336"/>
      <c r="O20" s="336"/>
      <c r="P20" s="336"/>
      <c r="Q20" s="336"/>
      <c r="R20" s="336"/>
      <c r="S20" s="336"/>
      <c r="T20" s="336"/>
      <c r="U20" s="336"/>
      <c r="V20" s="336"/>
    </row>
    <row r="21" spans="1:22" ht="15">
      <c r="B21" s="336"/>
      <c r="C21" s="336"/>
      <c r="D21" s="336"/>
      <c r="E21" s="336"/>
      <c r="F21" s="336"/>
      <c r="G21" s="336"/>
      <c r="H21" s="336"/>
      <c r="I21" s="336"/>
      <c r="J21" s="37"/>
      <c r="K21" s="336"/>
      <c r="L21" s="336"/>
      <c r="M21" s="336"/>
      <c r="N21" s="336"/>
      <c r="O21" s="336"/>
      <c r="P21" s="336"/>
      <c r="Q21" s="336"/>
      <c r="R21" s="336"/>
      <c r="S21" s="336"/>
      <c r="T21" s="336"/>
      <c r="U21" s="336"/>
      <c r="V21" s="336"/>
    </row>
  </sheetData>
  <mergeCells count="14">
    <mergeCell ref="M3:N3"/>
    <mergeCell ref="O3:P3"/>
    <mergeCell ref="Q3:R3"/>
    <mergeCell ref="S3:T3"/>
    <mergeCell ref="A1:T1"/>
    <mergeCell ref="A2:A4"/>
    <mergeCell ref="B2:B4"/>
    <mergeCell ref="C2:L2"/>
    <mergeCell ref="M2:T2"/>
    <mergeCell ref="C3:D3"/>
    <mergeCell ref="E3:F3"/>
    <mergeCell ref="G3:H3"/>
    <mergeCell ref="I3:J3"/>
    <mergeCell ref="K3:L3"/>
  </mergeCells>
  <printOptions horizontalCentered="1"/>
  <pageMargins left="0.7" right="0.7" top="0.75" bottom="0.75" header="0.3" footer="0.3"/>
  <pageSetup scale="66" orientation="landscape" r:id="rId1"/>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Y41"/>
  <sheetViews>
    <sheetView workbookViewId="0"/>
  </sheetViews>
  <sheetFormatPr defaultColWidth="8.85546875" defaultRowHeight="15"/>
  <cols>
    <col min="1" max="1" width="9.5703125" style="336" customWidth="1"/>
    <col min="2" max="2" width="12" style="336" customWidth="1"/>
    <col min="3" max="3" width="9" style="336" customWidth="1"/>
    <col min="4" max="4" width="9.85546875" style="336" customWidth="1"/>
    <col min="5" max="6" width="9.140625" style="336" customWidth="1"/>
    <col min="7" max="7" width="11" style="336" customWidth="1"/>
    <col min="8" max="12" width="8.85546875" style="336"/>
    <col min="13" max="13" width="10.5703125" style="336" customWidth="1"/>
    <col min="14" max="14" width="12.5703125" style="336" customWidth="1"/>
    <col min="15" max="15" width="17.85546875" style="331" bestFit="1" customWidth="1"/>
    <col min="16" max="16" width="11.28515625" style="331" customWidth="1"/>
    <col min="17" max="17" width="9.140625" style="336" customWidth="1"/>
    <col min="18" max="16384" width="8.85546875" style="336"/>
  </cols>
  <sheetData>
    <row r="1" spans="1:17">
      <c r="A1" s="938" t="s">
        <v>1144</v>
      </c>
      <c r="B1" s="938"/>
      <c r="C1" s="938"/>
      <c r="D1" s="938"/>
      <c r="E1" s="938"/>
      <c r="F1" s="938"/>
      <c r="G1" s="938"/>
      <c r="H1" s="938"/>
      <c r="I1" s="938"/>
      <c r="J1" s="938"/>
      <c r="K1" s="938"/>
      <c r="L1" s="938"/>
      <c r="M1" s="938"/>
      <c r="N1" s="938"/>
      <c r="O1" s="938"/>
      <c r="P1" s="938"/>
      <c r="Q1" s="938"/>
    </row>
    <row r="2" spans="1:17">
      <c r="A2" s="1547" t="s">
        <v>1086</v>
      </c>
      <c r="B2" s="1547"/>
      <c r="C2" s="1547"/>
      <c r="D2" s="1547"/>
      <c r="E2" s="1547"/>
      <c r="F2" s="1547"/>
      <c r="G2" s="1547"/>
      <c r="H2" s="1547"/>
      <c r="I2" s="1547"/>
      <c r="J2" s="1547"/>
      <c r="K2" s="1547"/>
      <c r="L2" s="1547"/>
      <c r="M2" s="1547"/>
      <c r="N2" s="1547"/>
      <c r="O2" s="336"/>
      <c r="P2" s="336"/>
    </row>
    <row r="3" spans="1:17" ht="32.25" customHeight="1">
      <c r="A3" s="1548" t="s">
        <v>1112</v>
      </c>
      <c r="B3" s="1550" t="s">
        <v>1113</v>
      </c>
      <c r="C3" s="1552" t="s">
        <v>1145</v>
      </c>
      <c r="D3" s="1553"/>
      <c r="E3" s="1552" t="s">
        <v>1146</v>
      </c>
      <c r="F3" s="1553"/>
      <c r="G3" s="1552" t="s">
        <v>1147</v>
      </c>
      <c r="H3" s="1553"/>
      <c r="I3" s="1552" t="s">
        <v>1148</v>
      </c>
      <c r="J3" s="1553"/>
      <c r="K3" s="1552" t="s">
        <v>96</v>
      </c>
      <c r="L3" s="1553"/>
      <c r="M3" s="1545" t="s">
        <v>1121</v>
      </c>
      <c r="N3" s="1545"/>
    </row>
    <row r="4" spans="1:17" ht="42.75" customHeight="1">
      <c r="A4" s="1549"/>
      <c r="B4" s="1551"/>
      <c r="C4" s="939" t="s">
        <v>515</v>
      </c>
      <c r="D4" s="940" t="s">
        <v>1149</v>
      </c>
      <c r="E4" s="939" t="s">
        <v>515</v>
      </c>
      <c r="F4" s="940" t="s">
        <v>1149</v>
      </c>
      <c r="G4" s="939" t="s">
        <v>515</v>
      </c>
      <c r="H4" s="940" t="s">
        <v>1149</v>
      </c>
      <c r="I4" s="939" t="s">
        <v>515</v>
      </c>
      <c r="J4" s="940" t="s">
        <v>1149</v>
      </c>
      <c r="K4" s="939" t="s">
        <v>515</v>
      </c>
      <c r="L4" s="940" t="s">
        <v>1149</v>
      </c>
      <c r="M4" s="939" t="s">
        <v>515</v>
      </c>
      <c r="N4" s="940" t="s">
        <v>1149</v>
      </c>
    </row>
    <row r="5" spans="1:17">
      <c r="A5" s="941" t="s">
        <v>518</v>
      </c>
      <c r="B5" s="911">
        <v>254</v>
      </c>
      <c r="C5" s="911">
        <v>75</v>
      </c>
      <c r="D5" s="942">
        <v>3.7293500000000002</v>
      </c>
      <c r="E5" s="911">
        <v>0</v>
      </c>
      <c r="F5" s="942">
        <v>0</v>
      </c>
      <c r="G5" s="911">
        <v>21</v>
      </c>
      <c r="H5" s="942">
        <v>1.0297099999999999</v>
      </c>
      <c r="I5" s="911">
        <v>4</v>
      </c>
      <c r="J5" s="942">
        <v>0.26</v>
      </c>
      <c r="K5" s="911">
        <v>100</v>
      </c>
      <c r="L5" s="942">
        <v>5.0190599999999996</v>
      </c>
      <c r="M5" s="911" t="s">
        <v>235</v>
      </c>
      <c r="N5" s="942" t="s">
        <v>235</v>
      </c>
    </row>
    <row r="6" spans="1:17" s="912" customFormat="1">
      <c r="A6" s="943" t="s">
        <v>743</v>
      </c>
      <c r="B6" s="914">
        <f>SUM(B7:B18)</f>
        <v>109</v>
      </c>
      <c r="C6" s="914">
        <f t="shared" ref="C6:L6" si="0">SUM(C7:C18)</f>
        <v>0</v>
      </c>
      <c r="D6" s="944">
        <f t="shared" si="0"/>
        <v>0</v>
      </c>
      <c r="E6" s="914">
        <f t="shared" si="0"/>
        <v>10</v>
      </c>
      <c r="F6" s="944">
        <f t="shared" si="0"/>
        <v>2.5449809999999999</v>
      </c>
      <c r="G6" s="914">
        <f t="shared" si="0"/>
        <v>0</v>
      </c>
      <c r="H6" s="944">
        <f t="shared" si="0"/>
        <v>0</v>
      </c>
      <c r="I6" s="914">
        <f t="shared" si="0"/>
        <v>0</v>
      </c>
      <c r="J6" s="944">
        <f t="shared" si="0"/>
        <v>0</v>
      </c>
      <c r="K6" s="914">
        <f t="shared" si="0"/>
        <v>10</v>
      </c>
      <c r="L6" s="944">
        <f t="shared" si="0"/>
        <v>2.5449809999999999</v>
      </c>
      <c r="M6" s="914">
        <f>INDEX(M7:M18,COUNT(M7:M18))</f>
        <v>0</v>
      </c>
      <c r="N6" s="944">
        <f>INDEX(N7:N18,COUNT(N7:N18))</f>
        <v>0</v>
      </c>
      <c r="O6" s="331"/>
      <c r="P6" s="331"/>
    </row>
    <row r="7" spans="1:17" s="912" customFormat="1">
      <c r="A7" s="915">
        <v>45412</v>
      </c>
      <c r="B7" s="916">
        <v>22</v>
      </c>
      <c r="C7" s="916">
        <v>0</v>
      </c>
      <c r="D7" s="945">
        <v>0</v>
      </c>
      <c r="E7" s="916">
        <v>0</v>
      </c>
      <c r="F7" s="945">
        <v>0</v>
      </c>
      <c r="G7" s="916">
        <v>0</v>
      </c>
      <c r="H7" s="945">
        <v>0</v>
      </c>
      <c r="I7" s="916">
        <v>0</v>
      </c>
      <c r="J7" s="945">
        <v>0</v>
      </c>
      <c r="K7" s="916">
        <f t="shared" ref="K7:L9" si="1">C7+E7+G7+I7</f>
        <v>0</v>
      </c>
      <c r="L7" s="916">
        <f t="shared" si="1"/>
        <v>0</v>
      </c>
      <c r="M7" s="916">
        <v>0</v>
      </c>
      <c r="N7" s="945">
        <v>0</v>
      </c>
      <c r="O7" s="331"/>
      <c r="P7" s="331"/>
    </row>
    <row r="8" spans="1:17" s="912" customFormat="1">
      <c r="A8" s="915">
        <v>45443</v>
      </c>
      <c r="B8" s="916">
        <v>23</v>
      </c>
      <c r="C8" s="916">
        <v>0</v>
      </c>
      <c r="D8" s="945">
        <v>0</v>
      </c>
      <c r="E8" s="916">
        <v>0</v>
      </c>
      <c r="F8" s="945">
        <v>0</v>
      </c>
      <c r="G8" s="916">
        <v>0</v>
      </c>
      <c r="H8" s="945">
        <v>0</v>
      </c>
      <c r="I8" s="916">
        <v>0</v>
      </c>
      <c r="J8" s="945">
        <v>0</v>
      </c>
      <c r="K8" s="916">
        <f t="shared" si="1"/>
        <v>0</v>
      </c>
      <c r="L8" s="916">
        <f t="shared" si="1"/>
        <v>0</v>
      </c>
      <c r="M8" s="916">
        <v>0</v>
      </c>
      <c r="N8" s="945">
        <v>0</v>
      </c>
      <c r="O8" s="331"/>
      <c r="P8" s="331"/>
    </row>
    <row r="9" spans="1:17" s="912" customFormat="1">
      <c r="A9" s="915">
        <v>45473</v>
      </c>
      <c r="B9" s="916">
        <v>20</v>
      </c>
      <c r="C9" s="916">
        <v>0</v>
      </c>
      <c r="D9" s="946">
        <v>0</v>
      </c>
      <c r="E9" s="916">
        <v>0</v>
      </c>
      <c r="F9" s="946">
        <v>0</v>
      </c>
      <c r="G9" s="916">
        <v>0</v>
      </c>
      <c r="H9" s="946">
        <v>0</v>
      </c>
      <c r="I9" s="916">
        <v>0</v>
      </c>
      <c r="J9" s="946">
        <v>0</v>
      </c>
      <c r="K9" s="916">
        <f t="shared" si="1"/>
        <v>0</v>
      </c>
      <c r="L9" s="916">
        <f t="shared" si="1"/>
        <v>0</v>
      </c>
      <c r="M9" s="947">
        <v>0</v>
      </c>
      <c r="N9" s="947">
        <v>0</v>
      </c>
      <c r="O9" s="331"/>
      <c r="P9" s="331"/>
    </row>
    <row r="10" spans="1:17" s="912" customFormat="1">
      <c r="A10" s="915">
        <v>45504</v>
      </c>
      <c r="B10" s="916">
        <v>23</v>
      </c>
      <c r="C10" s="916">
        <v>0</v>
      </c>
      <c r="D10" s="948">
        <v>0</v>
      </c>
      <c r="E10" s="916">
        <v>0</v>
      </c>
      <c r="F10" s="948">
        <v>0</v>
      </c>
      <c r="G10" s="916">
        <v>0</v>
      </c>
      <c r="H10" s="948">
        <v>0</v>
      </c>
      <c r="I10" s="916">
        <v>0</v>
      </c>
      <c r="J10" s="948">
        <v>0</v>
      </c>
      <c r="K10" s="916">
        <v>0</v>
      </c>
      <c r="L10" s="916">
        <v>0</v>
      </c>
      <c r="M10" s="916">
        <v>0</v>
      </c>
      <c r="N10" s="916">
        <v>0</v>
      </c>
      <c r="O10" s="331"/>
      <c r="P10" s="331"/>
    </row>
    <row r="11" spans="1:17" s="912" customFormat="1">
      <c r="A11" s="915">
        <v>45535</v>
      </c>
      <c r="B11" s="916">
        <v>21</v>
      </c>
      <c r="C11" s="916">
        <v>0</v>
      </c>
      <c r="D11" s="948">
        <v>0</v>
      </c>
      <c r="E11" s="916">
        <v>10</v>
      </c>
      <c r="F11" s="948">
        <v>2.5449809999999999</v>
      </c>
      <c r="G11" s="916">
        <v>0</v>
      </c>
      <c r="H11" s="916">
        <v>0</v>
      </c>
      <c r="I11" s="916">
        <v>0</v>
      </c>
      <c r="J11" s="948">
        <v>0</v>
      </c>
      <c r="K11" s="916">
        <v>10</v>
      </c>
      <c r="L11" s="916">
        <v>2.5449809999999999</v>
      </c>
      <c r="M11" s="916">
        <v>0</v>
      </c>
      <c r="N11" s="916">
        <v>0</v>
      </c>
      <c r="O11" s="331"/>
      <c r="P11" s="331"/>
    </row>
    <row r="12" spans="1:17" s="912" customFormat="1">
      <c r="A12" s="915">
        <v>45565</v>
      </c>
      <c r="B12" s="916"/>
      <c r="C12" s="916"/>
      <c r="D12" s="916"/>
      <c r="E12" s="916"/>
      <c r="F12" s="916"/>
      <c r="G12" s="916"/>
      <c r="H12" s="916"/>
      <c r="I12" s="916"/>
      <c r="J12" s="916"/>
      <c r="K12" s="916"/>
      <c r="L12" s="916"/>
      <c r="M12" s="916"/>
      <c r="N12" s="916"/>
      <c r="O12" s="331"/>
      <c r="P12" s="331"/>
    </row>
    <row r="13" spans="1:17" s="912" customFormat="1">
      <c r="A13" s="915">
        <v>45596</v>
      </c>
      <c r="B13" s="916"/>
      <c r="C13" s="916"/>
      <c r="D13" s="916"/>
      <c r="E13" s="916"/>
      <c r="F13" s="916"/>
      <c r="G13" s="916"/>
      <c r="H13" s="916"/>
      <c r="I13" s="916"/>
      <c r="J13" s="916"/>
      <c r="K13" s="916"/>
      <c r="L13" s="916"/>
      <c r="M13" s="916"/>
      <c r="N13" s="916"/>
      <c r="O13" s="331"/>
      <c r="P13" s="331"/>
    </row>
    <row r="14" spans="1:17" s="912" customFormat="1">
      <c r="A14" s="915">
        <v>45626</v>
      </c>
      <c r="B14" s="916"/>
      <c r="C14" s="916"/>
      <c r="D14" s="916"/>
      <c r="E14" s="916"/>
      <c r="F14" s="916"/>
      <c r="G14" s="916"/>
      <c r="H14" s="916"/>
      <c r="I14" s="916"/>
      <c r="J14" s="916"/>
      <c r="K14" s="916"/>
      <c r="L14" s="916"/>
      <c r="M14" s="916"/>
      <c r="N14" s="916"/>
      <c r="O14" s="331"/>
      <c r="P14" s="331"/>
    </row>
    <row r="15" spans="1:17" s="912" customFormat="1">
      <c r="A15" s="915">
        <v>45657</v>
      </c>
      <c r="B15" s="916"/>
      <c r="C15" s="916"/>
      <c r="D15" s="916"/>
      <c r="E15" s="916"/>
      <c r="F15" s="916"/>
      <c r="G15" s="916"/>
      <c r="H15" s="916"/>
      <c r="I15" s="916"/>
      <c r="J15" s="916"/>
      <c r="K15" s="916"/>
      <c r="L15" s="916"/>
      <c r="M15" s="916"/>
      <c r="N15" s="916"/>
      <c r="O15" s="331"/>
      <c r="P15" s="331"/>
    </row>
    <row r="16" spans="1:17" s="912" customFormat="1">
      <c r="A16" s="915">
        <v>45688</v>
      </c>
      <c r="B16" s="916"/>
      <c r="C16" s="916"/>
      <c r="D16" s="916"/>
      <c r="E16" s="916"/>
      <c r="F16" s="916"/>
      <c r="G16" s="916"/>
      <c r="H16" s="916"/>
      <c r="I16" s="916"/>
      <c r="J16" s="916"/>
      <c r="K16" s="916"/>
      <c r="L16" s="916"/>
      <c r="M16" s="916"/>
      <c r="N16" s="916"/>
      <c r="O16" s="331"/>
      <c r="P16" s="331"/>
    </row>
    <row r="17" spans="1:25" s="912" customFormat="1">
      <c r="A17" s="915">
        <v>45716</v>
      </c>
      <c r="B17" s="916"/>
      <c r="C17" s="916"/>
      <c r="D17" s="916"/>
      <c r="E17" s="916"/>
      <c r="F17" s="916"/>
      <c r="G17" s="916"/>
      <c r="H17" s="916"/>
      <c r="I17" s="916"/>
      <c r="J17" s="916"/>
      <c r="K17" s="916"/>
      <c r="L17" s="916"/>
      <c r="M17" s="916"/>
      <c r="N17" s="916"/>
      <c r="O17" s="331"/>
      <c r="P17" s="331"/>
    </row>
    <row r="18" spans="1:25">
      <c r="A18" s="915">
        <v>45747</v>
      </c>
      <c r="B18" s="916"/>
      <c r="C18" s="916"/>
      <c r="D18" s="916"/>
      <c r="E18" s="916"/>
      <c r="F18" s="916"/>
      <c r="G18" s="916"/>
      <c r="H18" s="916"/>
      <c r="I18" s="916"/>
      <c r="J18" s="916"/>
      <c r="K18" s="916"/>
      <c r="L18" s="916"/>
      <c r="M18" s="916"/>
      <c r="N18" s="916"/>
    </row>
    <row r="19" spans="1:25">
      <c r="A19" s="949"/>
      <c r="B19" s="950"/>
      <c r="C19" s="950"/>
      <c r="D19" s="950"/>
      <c r="E19" s="950"/>
      <c r="F19" s="950"/>
      <c r="G19" s="950"/>
      <c r="H19" s="950"/>
      <c r="I19" s="950"/>
      <c r="J19" s="950"/>
      <c r="K19" s="950"/>
      <c r="L19" s="950"/>
      <c r="M19" s="950"/>
      <c r="N19" s="950"/>
    </row>
    <row r="20" spans="1:25">
      <c r="A20" s="950"/>
      <c r="B20" s="950"/>
      <c r="C20" s="950"/>
      <c r="D20" s="950"/>
      <c r="E20" s="950"/>
      <c r="F20" s="950"/>
      <c r="G20" s="950"/>
      <c r="H20" s="950"/>
      <c r="I20" s="950"/>
      <c r="J20" s="950"/>
      <c r="K20" s="950"/>
      <c r="L20" s="950"/>
      <c r="M20" s="950"/>
      <c r="N20" s="950"/>
    </row>
    <row r="21" spans="1:25">
      <c r="A21" s="1539" t="s">
        <v>1128</v>
      </c>
      <c r="B21" s="1540"/>
      <c r="C21" s="1540"/>
      <c r="D21" s="1540"/>
      <c r="E21" s="1540"/>
      <c r="F21" s="1540"/>
      <c r="G21" s="1540"/>
      <c r="H21" s="1540"/>
      <c r="I21" s="1540"/>
      <c r="J21" s="1540"/>
      <c r="K21" s="1540"/>
      <c r="L21" s="1540"/>
      <c r="M21" s="1540"/>
      <c r="N21" s="1541"/>
      <c r="Y21" s="951"/>
    </row>
    <row r="22" spans="1:25" ht="27.75" customHeight="1">
      <c r="A22" s="1512" t="s">
        <v>116</v>
      </c>
      <c r="B22" s="1512" t="s">
        <v>1113</v>
      </c>
      <c r="C22" s="1542" t="s">
        <v>1150</v>
      </c>
      <c r="D22" s="1542"/>
      <c r="E22" s="1542"/>
      <c r="F22" s="1542"/>
      <c r="G22" s="1543" t="s">
        <v>650</v>
      </c>
      <c r="H22" s="1543"/>
      <c r="I22" s="1543"/>
      <c r="J22" s="1543"/>
      <c r="K22" s="1542" t="s">
        <v>96</v>
      </c>
      <c r="L22" s="1544"/>
      <c r="M22" s="1545" t="s">
        <v>1121</v>
      </c>
      <c r="N22" s="1545"/>
      <c r="Y22" s="926"/>
    </row>
    <row r="23" spans="1:25" ht="17.25" customHeight="1">
      <c r="A23" s="1519"/>
      <c r="B23" s="1519"/>
      <c r="C23" s="1546" t="s">
        <v>1132</v>
      </c>
      <c r="D23" s="1546"/>
      <c r="E23" s="1546" t="s">
        <v>1133</v>
      </c>
      <c r="F23" s="1546"/>
      <c r="G23" s="1546" t="s">
        <v>1132</v>
      </c>
      <c r="H23" s="1546"/>
      <c r="I23" s="1546" t="s">
        <v>1133</v>
      </c>
      <c r="J23" s="1546"/>
      <c r="K23" s="1545" t="s">
        <v>515</v>
      </c>
      <c r="L23" s="1545" t="s">
        <v>1149</v>
      </c>
      <c r="M23" s="1545" t="s">
        <v>515</v>
      </c>
      <c r="N23" s="1545" t="s">
        <v>1149</v>
      </c>
      <c r="Y23" s="336" t="s">
        <v>1104</v>
      </c>
    </row>
    <row r="24" spans="1:25" ht="46.5" customHeight="1">
      <c r="A24" s="1519"/>
      <c r="B24" s="1513"/>
      <c r="C24" s="939" t="s">
        <v>515</v>
      </c>
      <c r="D24" s="939" t="s">
        <v>1149</v>
      </c>
      <c r="E24" s="939" t="s">
        <v>515</v>
      </c>
      <c r="F24" s="939" t="s">
        <v>1149</v>
      </c>
      <c r="G24" s="939" t="s">
        <v>515</v>
      </c>
      <c r="H24" s="939" t="s">
        <v>1149</v>
      </c>
      <c r="I24" s="939" t="s">
        <v>515</v>
      </c>
      <c r="J24" s="939" t="s">
        <v>1149</v>
      </c>
      <c r="K24" s="1545"/>
      <c r="L24" s="1545"/>
      <c r="M24" s="1545"/>
      <c r="N24" s="1545"/>
    </row>
    <row r="25" spans="1:25">
      <c r="A25" s="952" t="s">
        <v>518</v>
      </c>
      <c r="B25" s="953">
        <v>254</v>
      </c>
      <c r="C25" s="953">
        <v>0</v>
      </c>
      <c r="D25" s="954">
        <v>0</v>
      </c>
      <c r="E25" s="953">
        <v>0</v>
      </c>
      <c r="F25" s="954">
        <v>0</v>
      </c>
      <c r="G25" s="953">
        <v>409</v>
      </c>
      <c r="H25" s="954">
        <v>30.18703</v>
      </c>
      <c r="I25" s="953">
        <v>8</v>
      </c>
      <c r="J25" s="954">
        <v>0.56455</v>
      </c>
      <c r="K25" s="953">
        <v>417</v>
      </c>
      <c r="L25" s="954">
        <v>30.751579999999997</v>
      </c>
      <c r="M25" s="955">
        <v>3</v>
      </c>
      <c r="N25" s="956">
        <v>0.23070599999999999</v>
      </c>
    </row>
    <row r="26" spans="1:25" s="912" customFormat="1">
      <c r="A26" s="957" t="s">
        <v>743</v>
      </c>
      <c r="B26" s="914">
        <f>SUM(B27:B38)</f>
        <v>109</v>
      </c>
      <c r="C26" s="914">
        <f t="shared" ref="C26:L26" si="2">SUM(C27:C38)</f>
        <v>14</v>
      </c>
      <c r="D26" s="944">
        <f t="shared" si="2"/>
        <v>3.7856960000000002</v>
      </c>
      <c r="E26" s="914">
        <f t="shared" si="2"/>
        <v>39</v>
      </c>
      <c r="F26" s="944">
        <f t="shared" si="2"/>
        <v>9.8126479999999994</v>
      </c>
      <c r="G26" s="914">
        <f t="shared" si="2"/>
        <v>139</v>
      </c>
      <c r="H26" s="944">
        <f t="shared" si="2"/>
        <v>10.19294</v>
      </c>
      <c r="I26" s="914">
        <f t="shared" si="2"/>
        <v>52</v>
      </c>
      <c r="J26" s="944">
        <f t="shared" si="2"/>
        <v>3.57796</v>
      </c>
      <c r="K26" s="914">
        <f t="shared" si="2"/>
        <v>297</v>
      </c>
      <c r="L26" s="944">
        <f t="shared" si="2"/>
        <v>27.369244000000002</v>
      </c>
      <c r="M26" s="914">
        <f>INDEX(M27:M38,COUNT(M27:M38))</f>
        <v>0</v>
      </c>
      <c r="N26" s="944">
        <f>INDEX(N27:N38,COUNT(N27:N38))</f>
        <v>0</v>
      </c>
      <c r="O26" s="331"/>
      <c r="P26" s="331"/>
      <c r="Q26" s="921"/>
    </row>
    <row r="27" spans="1:25" s="912" customFormat="1">
      <c r="A27" s="174">
        <v>45412</v>
      </c>
      <c r="B27" s="958">
        <v>22</v>
      </c>
      <c r="C27" s="958">
        <v>0</v>
      </c>
      <c r="D27" s="959">
        <v>0</v>
      </c>
      <c r="E27" s="264">
        <v>0</v>
      </c>
      <c r="F27" s="960">
        <v>0</v>
      </c>
      <c r="G27" s="961">
        <v>29</v>
      </c>
      <c r="H27" s="962">
        <v>2.2349999999999999</v>
      </c>
      <c r="I27" s="961">
        <v>20</v>
      </c>
      <c r="J27" s="962">
        <v>1.4279999999999999</v>
      </c>
      <c r="K27" s="264">
        <f>C27+E27+G27+I27</f>
        <v>49</v>
      </c>
      <c r="L27" s="962">
        <f>D27+F27+H27+J27</f>
        <v>3.6629999999999998</v>
      </c>
      <c r="M27" s="916">
        <v>4</v>
      </c>
      <c r="N27" s="945">
        <v>0.31</v>
      </c>
      <c r="O27" s="1170"/>
      <c r="P27" s="331"/>
      <c r="Q27" s="921"/>
    </row>
    <row r="28" spans="1:25" s="912" customFormat="1">
      <c r="A28" s="174">
        <v>45443</v>
      </c>
      <c r="B28" s="958">
        <v>23</v>
      </c>
      <c r="C28" s="958">
        <v>0</v>
      </c>
      <c r="D28" s="959">
        <v>0</v>
      </c>
      <c r="E28" s="264">
        <v>0</v>
      </c>
      <c r="F28" s="960">
        <v>0</v>
      </c>
      <c r="G28" s="958">
        <v>40</v>
      </c>
      <c r="H28" s="959">
        <v>2.9</v>
      </c>
      <c r="I28" s="958">
        <v>10</v>
      </c>
      <c r="J28" s="959">
        <v>0.67</v>
      </c>
      <c r="K28" s="264">
        <f t="shared" ref="K28:L31" si="3">C28+E28+G28+I28</f>
        <v>50</v>
      </c>
      <c r="L28" s="962">
        <f t="shared" si="3"/>
        <v>3.57</v>
      </c>
      <c r="M28" s="916">
        <v>2</v>
      </c>
      <c r="N28" s="945">
        <v>0.14000000000000001</v>
      </c>
      <c r="O28" s="331"/>
      <c r="P28" s="331"/>
      <c r="Q28" s="921"/>
    </row>
    <row r="29" spans="1:25" s="912" customFormat="1">
      <c r="A29" s="174">
        <v>45473</v>
      </c>
      <c r="B29" s="958">
        <v>20</v>
      </c>
      <c r="C29" s="958">
        <v>0</v>
      </c>
      <c r="D29" s="959">
        <v>0</v>
      </c>
      <c r="E29" s="264">
        <v>0</v>
      </c>
      <c r="F29" s="960">
        <v>0</v>
      </c>
      <c r="G29" s="963">
        <v>42</v>
      </c>
      <c r="H29" s="964">
        <v>2.9660899999999999</v>
      </c>
      <c r="I29" s="963">
        <v>4</v>
      </c>
      <c r="J29" s="964">
        <v>0.28510000000000002</v>
      </c>
      <c r="K29" s="264">
        <f t="shared" si="3"/>
        <v>46</v>
      </c>
      <c r="L29" s="962">
        <f t="shared" si="3"/>
        <v>3.2511899999999998</v>
      </c>
      <c r="M29" s="916">
        <v>0</v>
      </c>
      <c r="N29" s="925">
        <v>0</v>
      </c>
      <c r="O29" s="331"/>
      <c r="P29" s="331"/>
      <c r="Q29" s="921"/>
    </row>
    <row r="30" spans="1:25" s="912" customFormat="1">
      <c r="A30" s="174">
        <v>45504</v>
      </c>
      <c r="B30" s="958">
        <v>23</v>
      </c>
      <c r="C30" s="958">
        <v>0</v>
      </c>
      <c r="D30" s="959">
        <v>0</v>
      </c>
      <c r="E30" s="264">
        <v>0</v>
      </c>
      <c r="F30" s="960">
        <v>0</v>
      </c>
      <c r="G30" s="958">
        <v>28</v>
      </c>
      <c r="H30" s="958">
        <v>2.09185</v>
      </c>
      <c r="I30" s="958">
        <v>18</v>
      </c>
      <c r="J30" s="958">
        <v>1.19486</v>
      </c>
      <c r="K30" s="958">
        <v>99</v>
      </c>
      <c r="L30" s="962">
        <f t="shared" si="3"/>
        <v>3.2867100000000002</v>
      </c>
      <c r="M30" s="958">
        <v>0</v>
      </c>
      <c r="N30" s="958">
        <v>0</v>
      </c>
      <c r="O30" s="331"/>
      <c r="P30" s="331"/>
      <c r="Q30" s="921"/>
    </row>
    <row r="31" spans="1:25" s="912" customFormat="1">
      <c r="A31" s="174">
        <v>45535</v>
      </c>
      <c r="B31" s="958">
        <v>21</v>
      </c>
      <c r="C31" s="958">
        <v>14</v>
      </c>
      <c r="D31" s="958">
        <v>3.7856960000000002</v>
      </c>
      <c r="E31" s="958">
        <v>39</v>
      </c>
      <c r="F31" s="958">
        <v>9.8126479999999994</v>
      </c>
      <c r="G31" s="958">
        <v>0</v>
      </c>
      <c r="H31" s="958">
        <v>0</v>
      </c>
      <c r="I31" s="958">
        <v>0</v>
      </c>
      <c r="J31" s="958">
        <v>0</v>
      </c>
      <c r="K31" s="958">
        <v>53</v>
      </c>
      <c r="L31" s="962">
        <f t="shared" si="3"/>
        <v>13.598343999999999</v>
      </c>
      <c r="M31" s="958">
        <v>0</v>
      </c>
      <c r="N31" s="958">
        <v>0</v>
      </c>
      <c r="O31" s="1169"/>
      <c r="P31" s="331"/>
      <c r="Q31" s="921"/>
    </row>
    <row r="32" spans="1:25" s="912" customFormat="1">
      <c r="A32" s="174">
        <v>45565</v>
      </c>
      <c r="B32" s="958"/>
      <c r="C32" s="958"/>
      <c r="D32" s="958"/>
      <c r="E32" s="958"/>
      <c r="F32" s="958"/>
      <c r="G32" s="963"/>
      <c r="H32" s="964"/>
      <c r="I32" s="963"/>
      <c r="J32" s="964"/>
      <c r="K32" s="958"/>
      <c r="L32" s="958"/>
      <c r="M32" s="916"/>
      <c r="N32" s="916"/>
      <c r="O32" s="331"/>
      <c r="P32" s="331"/>
      <c r="Q32" s="921"/>
    </row>
    <row r="33" spans="1:17" s="912" customFormat="1">
      <c r="A33" s="174">
        <v>45596</v>
      </c>
      <c r="B33" s="958"/>
      <c r="C33" s="958"/>
      <c r="D33" s="958"/>
      <c r="E33" s="958"/>
      <c r="F33" s="958"/>
      <c r="G33" s="963"/>
      <c r="H33" s="964"/>
      <c r="I33" s="963"/>
      <c r="J33" s="964"/>
      <c r="K33" s="958"/>
      <c r="L33" s="958"/>
      <c r="M33" s="916"/>
      <c r="N33" s="916"/>
      <c r="O33" s="331"/>
      <c r="P33" s="331"/>
      <c r="Q33" s="921"/>
    </row>
    <row r="34" spans="1:17">
      <c r="A34" s="174">
        <v>45626</v>
      </c>
      <c r="B34" s="958"/>
      <c r="C34" s="958"/>
      <c r="D34" s="958"/>
      <c r="E34" s="264"/>
      <c r="F34" s="264"/>
      <c r="G34" s="963"/>
      <c r="H34" s="964"/>
      <c r="I34" s="963"/>
      <c r="J34" s="964"/>
      <c r="K34" s="264"/>
      <c r="L34" s="264"/>
      <c r="M34" s="916"/>
      <c r="N34" s="916"/>
      <c r="Q34" s="921"/>
    </row>
    <row r="35" spans="1:17">
      <c r="A35" s="174">
        <v>45657</v>
      </c>
      <c r="B35" s="958"/>
      <c r="C35" s="958"/>
      <c r="D35" s="958"/>
      <c r="E35" s="264"/>
      <c r="F35" s="264"/>
      <c r="G35" s="963"/>
      <c r="H35" s="964"/>
      <c r="I35" s="963"/>
      <c r="J35" s="964"/>
      <c r="K35" s="264"/>
      <c r="L35" s="264"/>
      <c r="M35" s="916"/>
      <c r="N35" s="916"/>
      <c r="Q35" s="921"/>
    </row>
    <row r="36" spans="1:17">
      <c r="A36" s="174">
        <v>45688</v>
      </c>
      <c r="B36" s="958"/>
      <c r="C36" s="958"/>
      <c r="D36" s="958"/>
      <c r="E36" s="963"/>
      <c r="F36" s="963"/>
      <c r="G36" s="963"/>
      <c r="H36" s="964"/>
      <c r="I36" s="963"/>
      <c r="J36" s="964"/>
      <c r="K36" s="963"/>
      <c r="L36" s="963"/>
      <c r="M36" s="916"/>
      <c r="N36" s="916"/>
      <c r="Q36" s="921"/>
    </row>
    <row r="37" spans="1:17">
      <c r="A37" s="174">
        <v>45716</v>
      </c>
      <c r="B37" s="958"/>
      <c r="C37" s="958"/>
      <c r="D37" s="958"/>
      <c r="E37" s="264"/>
      <c r="F37" s="264"/>
      <c r="G37" s="963"/>
      <c r="H37" s="964"/>
      <c r="I37" s="963"/>
      <c r="J37" s="964"/>
      <c r="K37" s="264"/>
      <c r="L37" s="264"/>
      <c r="M37" s="916"/>
      <c r="N37" s="916"/>
      <c r="Q37" s="921"/>
    </row>
    <row r="38" spans="1:17">
      <c r="A38" s="174">
        <v>45747</v>
      </c>
      <c r="B38" s="958"/>
      <c r="C38" s="958"/>
      <c r="D38" s="958"/>
      <c r="E38" s="963"/>
      <c r="F38" s="963"/>
      <c r="G38" s="963"/>
      <c r="H38" s="964"/>
      <c r="I38" s="963"/>
      <c r="J38" s="964"/>
      <c r="K38" s="963"/>
      <c r="L38" s="963"/>
      <c r="M38" s="916"/>
      <c r="N38" s="916"/>
      <c r="Q38" s="921"/>
    </row>
    <row r="39" spans="1:17">
      <c r="A39" s="743" t="str">
        <f>"$ indicates as on "&amp;TEXT(IF(COUNT(B27:B38)=1,A27,IF(COUNT(B27:B38)=2,A28,IF(COUNT(B27:B38)=3,A29,IF(COUNT(B27:B38)=4,A30,IF(COUNT(B27:B38)=5,A31,IF(COUNT(B27:B38)=6,A32,IF(COUNT(B27:B38)=7,A33,IF(COUNT(B27:B38)=8,A34,IF(COUNT(B27:B38)=9,A35,IF(COUNT(B27:B38)=10,A36,IF(COUNT(B27:B38)=11,A37,A38))))))))))),"mmmm dd, yyyy")</f>
        <v>$ indicates as on August 31, 2024</v>
      </c>
      <c r="B39" s="965"/>
      <c r="C39" s="965"/>
      <c r="D39" s="965"/>
      <c r="E39" s="966"/>
      <c r="F39" s="966"/>
      <c r="G39" s="966"/>
      <c r="H39" s="967"/>
      <c r="I39" s="966"/>
      <c r="J39" s="967"/>
      <c r="K39" s="966"/>
      <c r="L39" s="966"/>
      <c r="M39" s="950"/>
      <c r="N39" s="950"/>
      <c r="Q39" s="921"/>
    </row>
    <row r="40" spans="1:17">
      <c r="A40" s="949" t="s">
        <v>1151</v>
      </c>
      <c r="B40" s="965"/>
      <c r="C40" s="965"/>
      <c r="D40" s="965"/>
      <c r="E40" s="966"/>
      <c r="F40" s="966"/>
      <c r="G40" s="966"/>
      <c r="H40" s="967"/>
      <c r="I40" s="966"/>
      <c r="J40" s="967"/>
      <c r="K40" s="966"/>
      <c r="L40" s="966"/>
      <c r="M40" s="950"/>
      <c r="N40" s="950"/>
      <c r="Q40" s="921"/>
    </row>
    <row r="41" spans="1:17">
      <c r="A41" s="912" t="s">
        <v>257</v>
      </c>
      <c r="B41" s="918"/>
      <c r="C41" s="918"/>
      <c r="D41" s="918"/>
      <c r="E41" s="918"/>
      <c r="F41" s="918"/>
    </row>
  </sheetData>
  <mergeCells count="24">
    <mergeCell ref="A2:N2"/>
    <mergeCell ref="A3:A4"/>
    <mergeCell ref="B3:B4"/>
    <mergeCell ref="C3:D3"/>
    <mergeCell ref="E3:F3"/>
    <mergeCell ref="G3:H3"/>
    <mergeCell ref="I3:J3"/>
    <mergeCell ref="K3:L3"/>
    <mergeCell ref="M3:N3"/>
    <mergeCell ref="A21:N21"/>
    <mergeCell ref="A22:A24"/>
    <mergeCell ref="B22:B24"/>
    <mergeCell ref="C22:F22"/>
    <mergeCell ref="G22:J22"/>
    <mergeCell ref="K22:L22"/>
    <mergeCell ref="M22:N22"/>
    <mergeCell ref="C23:D23"/>
    <mergeCell ref="E23:F23"/>
    <mergeCell ref="G23:H23"/>
    <mergeCell ref="I23:J23"/>
    <mergeCell ref="K23:K24"/>
    <mergeCell ref="L23:L24"/>
    <mergeCell ref="M23:M24"/>
    <mergeCell ref="N23:N24"/>
  </mergeCells>
  <printOptions horizontalCentered="1"/>
  <pageMargins left="0.7" right="0.7" top="0.75" bottom="0.75" header="0.3" footer="0.3"/>
  <pageSetup scale="80" orientation="landscape" r:id="rId1"/>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41"/>
  <sheetViews>
    <sheetView workbookViewId="0"/>
  </sheetViews>
  <sheetFormatPr defaultColWidth="9.140625" defaultRowHeight="15"/>
  <cols>
    <col min="1" max="1" width="12.28515625" style="336" customWidth="1"/>
    <col min="2" max="2" width="8.7109375" style="336" customWidth="1"/>
    <col min="3" max="3" width="15.140625" style="336" customWidth="1"/>
    <col min="4" max="4" width="10.42578125" style="336" customWidth="1"/>
    <col min="5" max="5" width="12.7109375" style="336" customWidth="1"/>
    <col min="6" max="8" width="11.7109375" style="336" customWidth="1"/>
    <col min="9" max="9" width="11.28515625" style="336" customWidth="1"/>
    <col min="10" max="10" width="11.5703125" style="336" customWidth="1"/>
    <col min="11" max="11" width="10.7109375" style="336" customWidth="1"/>
    <col min="12" max="13" width="10.140625" style="336" customWidth="1"/>
    <col min="14" max="14" width="10.7109375" style="336" customWidth="1"/>
    <col min="15" max="15" width="10.85546875" style="331" customWidth="1"/>
    <col min="16" max="16" width="10.42578125" style="331" bestFit="1" customWidth="1"/>
    <col min="17" max="17" width="9.42578125" style="336" bestFit="1" customWidth="1"/>
    <col min="18" max="16384" width="9.140625" style="336"/>
  </cols>
  <sheetData>
    <row r="1" spans="1:16">
      <c r="A1" s="968" t="s">
        <v>1152</v>
      </c>
      <c r="B1" s="969"/>
      <c r="C1" s="969"/>
      <c r="D1" s="969"/>
      <c r="E1" s="969"/>
      <c r="F1" s="969"/>
      <c r="G1" s="969"/>
      <c r="H1" s="969"/>
      <c r="I1" s="969"/>
      <c r="J1" s="969"/>
      <c r="K1" s="969"/>
      <c r="L1" s="969"/>
      <c r="M1" s="969"/>
      <c r="N1" s="970"/>
      <c r="O1" s="336"/>
      <c r="P1" s="336"/>
    </row>
    <row r="2" spans="1:16">
      <c r="A2" s="1564" t="s">
        <v>1086</v>
      </c>
      <c r="B2" s="1564"/>
      <c r="C2" s="1564"/>
      <c r="D2" s="1564"/>
      <c r="E2" s="1564"/>
      <c r="F2" s="1564"/>
      <c r="G2" s="1564"/>
      <c r="H2" s="1564"/>
      <c r="I2" s="1564"/>
      <c r="J2" s="1564"/>
      <c r="K2" s="1564"/>
      <c r="L2" s="1564"/>
      <c r="M2" s="1564"/>
      <c r="N2" s="1564"/>
      <c r="O2" s="336"/>
      <c r="P2" s="336"/>
    </row>
    <row r="3" spans="1:16" ht="69" customHeight="1">
      <c r="A3" s="1565" t="s">
        <v>1112</v>
      </c>
      <c r="B3" s="1566" t="s">
        <v>1113</v>
      </c>
      <c r="C3" s="1567" t="s">
        <v>1145</v>
      </c>
      <c r="D3" s="1568"/>
      <c r="E3" s="1567" t="s">
        <v>1146</v>
      </c>
      <c r="F3" s="1568"/>
      <c r="G3" s="1567" t="s">
        <v>650</v>
      </c>
      <c r="H3" s="1568"/>
      <c r="I3" s="1567" t="s">
        <v>1153</v>
      </c>
      <c r="J3" s="1568"/>
      <c r="K3" s="1567" t="s">
        <v>96</v>
      </c>
      <c r="L3" s="1568"/>
      <c r="M3" s="1565" t="s">
        <v>1131</v>
      </c>
      <c r="N3" s="1565"/>
    </row>
    <row r="4" spans="1:16" ht="45">
      <c r="A4" s="1565"/>
      <c r="B4" s="1563"/>
      <c r="C4" s="971" t="s">
        <v>1122</v>
      </c>
      <c r="D4" s="971" t="s">
        <v>1154</v>
      </c>
      <c r="E4" s="971" t="s">
        <v>1122</v>
      </c>
      <c r="F4" s="971" t="s">
        <v>1154</v>
      </c>
      <c r="G4" s="971" t="s">
        <v>1122</v>
      </c>
      <c r="H4" s="971" t="s">
        <v>1154</v>
      </c>
      <c r="I4" s="971" t="s">
        <v>1122</v>
      </c>
      <c r="J4" s="971" t="s">
        <v>1154</v>
      </c>
      <c r="K4" s="971" t="s">
        <v>1122</v>
      </c>
      <c r="L4" s="971" t="s">
        <v>1154</v>
      </c>
      <c r="M4" s="971" t="s">
        <v>1122</v>
      </c>
      <c r="N4" s="971" t="s">
        <v>1155</v>
      </c>
    </row>
    <row r="5" spans="1:16" s="973" customFormat="1" ht="15" customHeight="1">
      <c r="A5" s="972" t="s">
        <v>518</v>
      </c>
      <c r="B5" s="911">
        <v>254</v>
      </c>
      <c r="C5" s="911">
        <v>0</v>
      </c>
      <c r="D5" s="911">
        <v>0</v>
      </c>
      <c r="E5" s="911">
        <v>101</v>
      </c>
      <c r="F5" s="911">
        <v>10.066040000000001</v>
      </c>
      <c r="G5" s="911">
        <v>111127</v>
      </c>
      <c r="H5" s="911">
        <v>5419.6783786000015</v>
      </c>
      <c r="I5" s="911">
        <v>0</v>
      </c>
      <c r="J5" s="911">
        <v>0</v>
      </c>
      <c r="K5" s="911">
        <v>111228</v>
      </c>
      <c r="L5" s="911">
        <v>5429.2207350000008</v>
      </c>
      <c r="M5" s="911">
        <v>58</v>
      </c>
      <c r="N5" s="911">
        <v>2.4700000000000002</v>
      </c>
      <c r="O5" s="331"/>
      <c r="P5" s="331"/>
    </row>
    <row r="6" spans="1:16" s="975" customFormat="1">
      <c r="A6" s="974" t="s">
        <v>743</v>
      </c>
      <c r="B6" s="914">
        <f>SUM(B7:B18)</f>
        <v>109</v>
      </c>
      <c r="C6" s="914">
        <f t="shared" ref="C6:L6" si="0">SUM(C7:C18)</f>
        <v>0</v>
      </c>
      <c r="D6" s="914">
        <f t="shared" si="0"/>
        <v>0</v>
      </c>
      <c r="E6" s="914">
        <f t="shared" si="0"/>
        <v>61</v>
      </c>
      <c r="F6" s="914">
        <f t="shared" si="0"/>
        <v>15.937772000000001</v>
      </c>
      <c r="G6" s="914">
        <f t="shared" si="0"/>
        <v>815</v>
      </c>
      <c r="H6" s="914">
        <f t="shared" si="0"/>
        <v>48.034340000000007</v>
      </c>
      <c r="I6" s="914">
        <f t="shared" si="0"/>
        <v>0</v>
      </c>
      <c r="J6" s="914">
        <f t="shared" si="0"/>
        <v>0</v>
      </c>
      <c r="K6" s="914">
        <f t="shared" si="0"/>
        <v>876</v>
      </c>
      <c r="L6" s="914">
        <f t="shared" si="0"/>
        <v>63.972112000000003</v>
      </c>
      <c r="M6" s="914">
        <f>INDEX(M7:M18,COUNT(M7:M18))</f>
        <v>59</v>
      </c>
      <c r="N6" s="914">
        <f>INDEX(N7:N18,COUNT(N7:N18))</f>
        <v>2.4562050000000002</v>
      </c>
      <c r="O6" s="331"/>
      <c r="P6" s="331"/>
    </row>
    <row r="7" spans="1:16" s="975" customFormat="1">
      <c r="A7" s="174">
        <v>45412</v>
      </c>
      <c r="B7" s="916">
        <v>22</v>
      </c>
      <c r="C7" s="916">
        <v>0</v>
      </c>
      <c r="D7" s="916">
        <v>0</v>
      </c>
      <c r="E7" s="916">
        <v>11</v>
      </c>
      <c r="F7" s="916">
        <v>2.6928329999999998</v>
      </c>
      <c r="G7" s="916">
        <v>150</v>
      </c>
      <c r="H7" s="916">
        <v>8.9870374999999996</v>
      </c>
      <c r="I7" s="916">
        <v>0</v>
      </c>
      <c r="J7" s="916">
        <v>0</v>
      </c>
      <c r="K7" s="916">
        <v>161</v>
      </c>
      <c r="L7" s="916">
        <v>11.6798705</v>
      </c>
      <c r="M7" s="916">
        <v>13</v>
      </c>
      <c r="N7" s="916">
        <v>1.06</v>
      </c>
      <c r="O7" s="331"/>
      <c r="P7" s="331"/>
    </row>
    <row r="8" spans="1:16" s="975" customFormat="1">
      <c r="A8" s="174">
        <v>45443</v>
      </c>
      <c r="B8" s="916">
        <v>23</v>
      </c>
      <c r="C8" s="916">
        <v>0</v>
      </c>
      <c r="D8" s="916">
        <v>0</v>
      </c>
      <c r="E8" s="916">
        <v>14</v>
      </c>
      <c r="F8" s="916">
        <v>3.802629</v>
      </c>
      <c r="G8" s="916">
        <v>134</v>
      </c>
      <c r="H8" s="916">
        <v>8.8337300000000027</v>
      </c>
      <c r="I8" s="916">
        <v>0</v>
      </c>
      <c r="J8" s="916">
        <v>0</v>
      </c>
      <c r="K8" s="916">
        <v>148</v>
      </c>
      <c r="L8" s="916">
        <v>12.636359000000002</v>
      </c>
      <c r="M8" s="916">
        <v>25</v>
      </c>
      <c r="N8" s="916">
        <v>1.8155399999999999</v>
      </c>
      <c r="O8" s="331"/>
      <c r="P8" s="331"/>
    </row>
    <row r="9" spans="1:16" s="975" customFormat="1">
      <c r="A9" s="174">
        <v>45473</v>
      </c>
      <c r="B9" s="916">
        <v>20</v>
      </c>
      <c r="C9" s="916">
        <v>0</v>
      </c>
      <c r="D9" s="916">
        <v>0</v>
      </c>
      <c r="E9" s="916">
        <v>10</v>
      </c>
      <c r="F9" s="916">
        <v>2.7018900000000001</v>
      </c>
      <c r="G9" s="916">
        <v>127</v>
      </c>
      <c r="H9" s="916">
        <v>8.2868699999999986</v>
      </c>
      <c r="I9" s="916">
        <v>0</v>
      </c>
      <c r="J9" s="916">
        <v>0</v>
      </c>
      <c r="K9" s="916">
        <v>137</v>
      </c>
      <c r="L9" s="916">
        <v>10.988759999999999</v>
      </c>
      <c r="M9" s="916">
        <v>16</v>
      </c>
      <c r="N9" s="916">
        <v>1.2877529999999999</v>
      </c>
      <c r="O9" s="331"/>
      <c r="P9" s="331"/>
    </row>
    <row r="10" spans="1:16" s="975" customFormat="1">
      <c r="A10" s="174">
        <v>45504</v>
      </c>
      <c r="B10" s="976">
        <v>23</v>
      </c>
      <c r="C10" s="977">
        <v>0</v>
      </c>
      <c r="D10" s="977">
        <v>0</v>
      </c>
      <c r="E10" s="916">
        <v>14</v>
      </c>
      <c r="F10" s="916">
        <v>3.74</v>
      </c>
      <c r="G10" s="916">
        <v>130</v>
      </c>
      <c r="H10" s="916">
        <v>7.39</v>
      </c>
      <c r="I10" s="916">
        <v>0</v>
      </c>
      <c r="J10" s="916">
        <v>0</v>
      </c>
      <c r="K10" s="916">
        <v>144</v>
      </c>
      <c r="L10" s="916">
        <v>11.129999999999999</v>
      </c>
      <c r="M10" s="916">
        <v>54</v>
      </c>
      <c r="N10" s="916">
        <v>2.39</v>
      </c>
      <c r="O10" s="18"/>
      <c r="P10" s="331"/>
    </row>
    <row r="11" spans="1:16" s="975" customFormat="1">
      <c r="A11" s="174">
        <v>45535</v>
      </c>
      <c r="B11" s="976">
        <v>21</v>
      </c>
      <c r="C11" s="977">
        <v>0</v>
      </c>
      <c r="D11" s="977">
        <v>0</v>
      </c>
      <c r="E11" s="916">
        <v>12</v>
      </c>
      <c r="F11" s="916">
        <v>3.0004200000000005</v>
      </c>
      <c r="G11" s="916">
        <v>274</v>
      </c>
      <c r="H11" s="916">
        <v>14.536702500000002</v>
      </c>
      <c r="I11" s="916">
        <v>0</v>
      </c>
      <c r="J11" s="916">
        <v>0</v>
      </c>
      <c r="K11" s="916">
        <v>286</v>
      </c>
      <c r="L11" s="916">
        <v>17.537122500000002</v>
      </c>
      <c r="M11" s="916">
        <v>59</v>
      </c>
      <c r="N11" s="916">
        <v>2.4562050000000002</v>
      </c>
      <c r="O11" s="331"/>
      <c r="P11" s="331"/>
    </row>
    <row r="12" spans="1:16" s="975" customFormat="1">
      <c r="A12" s="174">
        <v>45565</v>
      </c>
      <c r="B12" s="916"/>
      <c r="C12" s="916"/>
      <c r="D12" s="916"/>
      <c r="E12" s="916"/>
      <c r="F12" s="916"/>
      <c r="G12" s="916"/>
      <c r="H12" s="916"/>
      <c r="I12" s="916"/>
      <c r="J12" s="916"/>
      <c r="K12" s="916"/>
      <c r="L12" s="916"/>
      <c r="M12" s="916"/>
      <c r="N12" s="916"/>
      <c r="O12" s="331"/>
      <c r="P12" s="331"/>
    </row>
    <row r="13" spans="1:16" s="975" customFormat="1">
      <c r="A13" s="174">
        <v>45596</v>
      </c>
      <c r="B13" s="916"/>
      <c r="C13" s="916"/>
      <c r="D13" s="916"/>
      <c r="E13" s="916"/>
      <c r="F13" s="916"/>
      <c r="G13" s="916"/>
      <c r="H13" s="916"/>
      <c r="I13" s="916"/>
      <c r="J13" s="916"/>
      <c r="K13" s="916"/>
      <c r="L13" s="916"/>
      <c r="M13" s="916"/>
      <c r="N13" s="916"/>
      <c r="O13" s="331"/>
      <c r="P13" s="331"/>
    </row>
    <row r="14" spans="1:16" s="978" customFormat="1">
      <c r="A14" s="174">
        <v>45626</v>
      </c>
      <c r="B14" s="916"/>
      <c r="C14" s="916"/>
      <c r="D14" s="916"/>
      <c r="E14" s="916"/>
      <c r="F14" s="916"/>
      <c r="G14" s="916"/>
      <c r="H14" s="916"/>
      <c r="I14" s="916"/>
      <c r="J14" s="916"/>
      <c r="K14" s="916"/>
      <c r="L14" s="916"/>
      <c r="M14" s="916"/>
      <c r="N14" s="916"/>
      <c r="O14" s="331"/>
      <c r="P14" s="331"/>
    </row>
    <row r="15" spans="1:16" s="978" customFormat="1">
      <c r="A15" s="174">
        <v>45657</v>
      </c>
      <c r="B15" s="916"/>
      <c r="C15" s="916"/>
      <c r="D15" s="916"/>
      <c r="E15" s="916"/>
      <c r="F15" s="916"/>
      <c r="G15" s="916"/>
      <c r="H15" s="916"/>
      <c r="I15" s="916"/>
      <c r="J15" s="916"/>
      <c r="K15" s="916"/>
      <c r="L15" s="916"/>
      <c r="M15" s="916"/>
      <c r="N15" s="916"/>
      <c r="O15" s="331"/>
      <c r="P15" s="331"/>
    </row>
    <row r="16" spans="1:16" s="978" customFormat="1">
      <c r="A16" s="174">
        <v>45688</v>
      </c>
      <c r="B16" s="916"/>
      <c r="C16" s="916"/>
      <c r="D16" s="916"/>
      <c r="E16" s="916"/>
      <c r="F16" s="916"/>
      <c r="G16" s="916"/>
      <c r="H16" s="916"/>
      <c r="I16" s="916"/>
      <c r="J16" s="916"/>
      <c r="K16" s="916"/>
      <c r="L16" s="916"/>
      <c r="M16" s="916"/>
      <c r="N16" s="916"/>
      <c r="O16" s="331"/>
      <c r="P16" s="331"/>
    </row>
    <row r="17" spans="1:16" s="978" customFormat="1">
      <c r="A17" s="174">
        <v>45716</v>
      </c>
      <c r="B17" s="916"/>
      <c r="C17" s="916"/>
      <c r="D17" s="916"/>
      <c r="E17" s="916"/>
      <c r="F17" s="916"/>
      <c r="G17" s="916"/>
      <c r="H17" s="916"/>
      <c r="I17" s="916"/>
      <c r="J17" s="916"/>
      <c r="K17" s="916"/>
      <c r="L17" s="916"/>
      <c r="M17" s="916"/>
      <c r="N17" s="916"/>
      <c r="O17" s="331"/>
      <c r="P17" s="331"/>
    </row>
    <row r="18" spans="1:16" s="978" customFormat="1">
      <c r="A18" s="174">
        <v>45747</v>
      </c>
      <c r="B18" s="916"/>
      <c r="C18" s="916"/>
      <c r="D18" s="916"/>
      <c r="E18" s="916"/>
      <c r="F18" s="916"/>
      <c r="G18" s="916"/>
      <c r="H18" s="916"/>
      <c r="I18" s="916"/>
      <c r="J18" s="916"/>
      <c r="K18" s="916"/>
      <c r="L18" s="916"/>
      <c r="M18" s="916"/>
      <c r="N18" s="916"/>
      <c r="O18" s="331"/>
      <c r="P18" s="331"/>
    </row>
    <row r="20" spans="1:16">
      <c r="A20" s="1554" t="s">
        <v>1128</v>
      </c>
      <c r="B20" s="1555"/>
      <c r="C20" s="1555"/>
      <c r="D20" s="1555"/>
      <c r="E20" s="1555"/>
      <c r="F20" s="1555"/>
      <c r="G20" s="1555"/>
      <c r="H20" s="1555"/>
      <c r="I20" s="1555"/>
      <c r="J20" s="1555"/>
      <c r="K20" s="1555"/>
      <c r="L20" s="1555"/>
      <c r="M20" s="1555"/>
      <c r="N20" s="1555"/>
    </row>
    <row r="21" spans="1:16" ht="81" customHeight="1">
      <c r="A21" s="1556" t="s">
        <v>1112</v>
      </c>
      <c r="B21" s="1556" t="s">
        <v>1113</v>
      </c>
      <c r="C21" s="1557" t="s">
        <v>1129</v>
      </c>
      <c r="D21" s="1558"/>
      <c r="E21" s="1558"/>
      <c r="F21" s="1559"/>
      <c r="G21" s="1543" t="s">
        <v>650</v>
      </c>
      <c r="H21" s="1543"/>
      <c r="I21" s="1543"/>
      <c r="J21" s="1543"/>
      <c r="K21" s="1557" t="s">
        <v>96</v>
      </c>
      <c r="L21" s="1559"/>
      <c r="M21" s="1557" t="s">
        <v>1131</v>
      </c>
      <c r="N21" s="1559"/>
    </row>
    <row r="22" spans="1:16" ht="21" customHeight="1">
      <c r="A22" s="1519"/>
      <c r="B22" s="1519"/>
      <c r="C22" s="1560" t="s">
        <v>1132</v>
      </c>
      <c r="D22" s="1561"/>
      <c r="E22" s="1560" t="s">
        <v>1133</v>
      </c>
      <c r="F22" s="1561"/>
      <c r="G22" s="1546" t="s">
        <v>1132</v>
      </c>
      <c r="H22" s="1546"/>
      <c r="I22" s="1546" t="s">
        <v>1133</v>
      </c>
      <c r="J22" s="1546"/>
      <c r="K22" s="1562" t="s">
        <v>1122</v>
      </c>
      <c r="L22" s="1562" t="s">
        <v>1156</v>
      </c>
      <c r="M22" s="1556" t="s">
        <v>1125</v>
      </c>
      <c r="N22" s="1556" t="s">
        <v>1134</v>
      </c>
    </row>
    <row r="23" spans="1:16" ht="69.75" customHeight="1">
      <c r="A23" s="1513"/>
      <c r="B23" s="1513"/>
      <c r="C23" s="971" t="s">
        <v>1122</v>
      </c>
      <c r="D23" s="971" t="s">
        <v>1154</v>
      </c>
      <c r="E23" s="971" t="s">
        <v>1122</v>
      </c>
      <c r="F23" s="971" t="s">
        <v>1154</v>
      </c>
      <c r="G23" s="971" t="s">
        <v>1157</v>
      </c>
      <c r="H23" s="971" t="s">
        <v>1149</v>
      </c>
      <c r="I23" s="971" t="s">
        <v>1157</v>
      </c>
      <c r="J23" s="971" t="s">
        <v>1149</v>
      </c>
      <c r="K23" s="1563"/>
      <c r="L23" s="1563"/>
      <c r="M23" s="1513"/>
      <c r="N23" s="1513"/>
    </row>
    <row r="24" spans="1:16">
      <c r="A24" s="972" t="s">
        <v>518</v>
      </c>
      <c r="B24" s="979">
        <v>254</v>
      </c>
      <c r="C24" s="979">
        <v>32528</v>
      </c>
      <c r="D24" s="979">
        <v>3319.1884190000005</v>
      </c>
      <c r="E24" s="979">
        <v>29940</v>
      </c>
      <c r="F24" s="979">
        <v>2809.4286369999995</v>
      </c>
      <c r="G24" s="979">
        <v>1367980</v>
      </c>
      <c r="H24" s="979">
        <v>97565.700477249979</v>
      </c>
      <c r="I24" s="979">
        <v>1668686</v>
      </c>
      <c r="J24" s="979">
        <v>92575.582914250001</v>
      </c>
      <c r="K24" s="979">
        <v>3099134</v>
      </c>
      <c r="L24" s="979">
        <v>196270.16888349998</v>
      </c>
      <c r="M24" s="979">
        <v>439</v>
      </c>
      <c r="N24" s="979">
        <v>33.009750000000004</v>
      </c>
    </row>
    <row r="25" spans="1:16">
      <c r="A25" s="974" t="s">
        <v>743</v>
      </c>
      <c r="B25" s="914">
        <f>SUM(B26:B37)</f>
        <v>109</v>
      </c>
      <c r="C25" s="914">
        <f t="shared" ref="C25:L25" si="1">SUM(C26:C37)</f>
        <v>13480</v>
      </c>
      <c r="D25" s="914">
        <f t="shared" si="1"/>
        <v>3604.8663019999995</v>
      </c>
      <c r="E25" s="914">
        <f t="shared" si="1"/>
        <v>10859</v>
      </c>
      <c r="F25" s="914">
        <f t="shared" si="1"/>
        <v>2750.2454585000005</v>
      </c>
      <c r="G25" s="914">
        <f t="shared" si="1"/>
        <v>3456398</v>
      </c>
      <c r="H25" s="914">
        <f t="shared" si="1"/>
        <v>260165.178885</v>
      </c>
      <c r="I25" s="914">
        <f t="shared" si="1"/>
        <v>2851469</v>
      </c>
      <c r="J25" s="914">
        <f t="shared" si="1"/>
        <v>169697.41899500001</v>
      </c>
      <c r="K25" s="914">
        <f t="shared" si="1"/>
        <v>6332206</v>
      </c>
      <c r="L25" s="914">
        <f t="shared" si="1"/>
        <v>436217.70964050002</v>
      </c>
      <c r="M25" s="914">
        <f>INDEX(M26:M37,COUNT(M26:M37))</f>
        <v>1643</v>
      </c>
      <c r="N25" s="914">
        <f>INDEX(N26:N37,COUNT(N26:N37))</f>
        <v>101.61699999999999</v>
      </c>
    </row>
    <row r="26" spans="1:16">
      <c r="A26" s="915">
        <v>45412</v>
      </c>
      <c r="B26" s="958">
        <v>22</v>
      </c>
      <c r="C26" s="958">
        <v>4206</v>
      </c>
      <c r="D26" s="958">
        <v>1093.7545334999998</v>
      </c>
      <c r="E26" s="958">
        <v>2232</v>
      </c>
      <c r="F26" s="958">
        <v>533.39063399999986</v>
      </c>
      <c r="G26" s="958">
        <v>469918</v>
      </c>
      <c r="H26" s="958">
        <v>38033.995651250014</v>
      </c>
      <c r="I26" s="958">
        <v>1253338</v>
      </c>
      <c r="J26" s="958">
        <v>75683.183141000016</v>
      </c>
      <c r="K26" s="958">
        <v>1729694</v>
      </c>
      <c r="L26" s="958">
        <v>115344.32395975004</v>
      </c>
      <c r="M26" s="958">
        <v>407</v>
      </c>
      <c r="N26" s="958">
        <v>28.34</v>
      </c>
    </row>
    <row r="27" spans="1:16">
      <c r="A27" s="915">
        <v>45443</v>
      </c>
      <c r="B27" s="958">
        <v>23</v>
      </c>
      <c r="C27" s="958">
        <v>2462</v>
      </c>
      <c r="D27" s="958">
        <v>701.78770499999973</v>
      </c>
      <c r="E27" s="958">
        <v>933</v>
      </c>
      <c r="F27" s="958">
        <v>243.88474349999993</v>
      </c>
      <c r="G27" s="958">
        <v>1267891</v>
      </c>
      <c r="H27" s="958">
        <v>95694.799223999958</v>
      </c>
      <c r="I27" s="958">
        <v>296748</v>
      </c>
      <c r="J27" s="958">
        <v>17266.392479000016</v>
      </c>
      <c r="K27" s="958">
        <v>1568034</v>
      </c>
      <c r="L27" s="958">
        <v>113906.86415149998</v>
      </c>
      <c r="M27" s="958">
        <v>799</v>
      </c>
      <c r="N27" s="958">
        <v>51.811</v>
      </c>
    </row>
    <row r="28" spans="1:16">
      <c r="A28" s="915">
        <v>45473</v>
      </c>
      <c r="B28" s="980">
        <v>20</v>
      </c>
      <c r="C28" s="981">
        <v>449</v>
      </c>
      <c r="D28" s="981">
        <v>124.547025</v>
      </c>
      <c r="E28" s="981">
        <v>995</v>
      </c>
      <c r="F28" s="981">
        <v>261.63831749999997</v>
      </c>
      <c r="G28" s="981">
        <v>444730</v>
      </c>
      <c r="H28" s="981">
        <v>31976.810883750004</v>
      </c>
      <c r="I28" s="981">
        <v>430453</v>
      </c>
      <c r="J28" s="981">
        <v>25100.489501999993</v>
      </c>
      <c r="K28" s="981">
        <v>876627</v>
      </c>
      <c r="L28" s="981">
        <v>57463.485728250002</v>
      </c>
      <c r="M28" s="981">
        <v>790</v>
      </c>
      <c r="N28" s="981">
        <v>53.170999999999992</v>
      </c>
    </row>
    <row r="29" spans="1:16">
      <c r="A29" s="915">
        <v>45504</v>
      </c>
      <c r="B29" s="982">
        <v>23</v>
      </c>
      <c r="C29" s="983">
        <v>1006</v>
      </c>
      <c r="D29" s="984">
        <v>284</v>
      </c>
      <c r="E29" s="983">
        <v>1887</v>
      </c>
      <c r="F29" s="984">
        <v>509</v>
      </c>
      <c r="G29" s="981">
        <v>632321</v>
      </c>
      <c r="H29" s="981">
        <v>47656</v>
      </c>
      <c r="I29" s="981">
        <v>521799</v>
      </c>
      <c r="J29" s="981">
        <v>31323</v>
      </c>
      <c r="K29" s="981">
        <v>1157013</v>
      </c>
      <c r="L29" s="981">
        <v>79772</v>
      </c>
      <c r="M29" s="981">
        <v>937</v>
      </c>
      <c r="N29" s="981">
        <v>63.04</v>
      </c>
    </row>
    <row r="30" spans="1:16">
      <c r="A30" s="915">
        <v>45535</v>
      </c>
      <c r="B30" s="982">
        <v>21</v>
      </c>
      <c r="C30" s="983">
        <v>5357</v>
      </c>
      <c r="D30" s="984">
        <v>1400.7770384999999</v>
      </c>
      <c r="E30" s="983">
        <v>4812</v>
      </c>
      <c r="F30" s="984">
        <v>1202.3317635000005</v>
      </c>
      <c r="G30" s="981">
        <v>641538</v>
      </c>
      <c r="H30" s="981">
        <v>46803.573126000032</v>
      </c>
      <c r="I30" s="981">
        <v>349131</v>
      </c>
      <c r="J30" s="981">
        <v>20324.353872999989</v>
      </c>
      <c r="K30" s="981">
        <v>1000838</v>
      </c>
      <c r="L30" s="981">
        <v>69731.03580100002</v>
      </c>
      <c r="M30" s="981">
        <v>1643</v>
      </c>
      <c r="N30" s="981">
        <v>101.61699999999999</v>
      </c>
    </row>
    <row r="31" spans="1:16">
      <c r="A31" s="915">
        <v>45565</v>
      </c>
      <c r="B31" s="958"/>
      <c r="C31" s="958"/>
      <c r="D31" s="958"/>
      <c r="E31" s="958"/>
      <c r="F31" s="958"/>
      <c r="G31" s="958"/>
      <c r="H31" s="958"/>
      <c r="I31" s="958"/>
      <c r="J31" s="958"/>
      <c r="K31" s="958"/>
      <c r="L31" s="958"/>
      <c r="M31" s="958"/>
      <c r="N31" s="958"/>
    </row>
    <row r="32" spans="1:16">
      <c r="A32" s="915">
        <v>45596</v>
      </c>
      <c r="B32" s="958"/>
      <c r="C32" s="958"/>
      <c r="D32" s="958"/>
      <c r="E32" s="958"/>
      <c r="F32" s="958"/>
      <c r="G32" s="958"/>
      <c r="H32" s="958"/>
      <c r="I32" s="958"/>
      <c r="J32" s="958"/>
      <c r="K32" s="958"/>
      <c r="L32" s="958"/>
      <c r="M32" s="958"/>
      <c r="N32" s="958"/>
    </row>
    <row r="33" spans="1:17">
      <c r="A33" s="915">
        <v>45626</v>
      </c>
      <c r="B33" s="958"/>
      <c r="C33" s="958"/>
      <c r="D33" s="958"/>
      <c r="E33" s="958"/>
      <c r="F33" s="958"/>
      <c r="G33" s="958"/>
      <c r="H33" s="958"/>
      <c r="I33" s="958"/>
      <c r="J33" s="958"/>
      <c r="K33" s="958"/>
      <c r="L33" s="958"/>
      <c r="M33" s="958"/>
      <c r="N33" s="958"/>
    </row>
    <row r="34" spans="1:17">
      <c r="A34" s="915">
        <v>45657</v>
      </c>
      <c r="B34" s="958"/>
      <c r="C34" s="958"/>
      <c r="D34" s="958"/>
      <c r="E34" s="958"/>
      <c r="F34" s="958"/>
      <c r="G34" s="958"/>
      <c r="H34" s="958"/>
      <c r="I34" s="958"/>
      <c r="J34" s="958"/>
      <c r="K34" s="958"/>
      <c r="L34" s="958"/>
      <c r="M34" s="958"/>
      <c r="N34" s="958"/>
    </row>
    <row r="35" spans="1:17">
      <c r="A35" s="915">
        <v>45688</v>
      </c>
      <c r="B35" s="958"/>
      <c r="C35" s="958"/>
      <c r="D35" s="958"/>
      <c r="E35" s="958"/>
      <c r="F35" s="958"/>
      <c r="G35" s="958"/>
      <c r="H35" s="958"/>
      <c r="I35" s="958"/>
      <c r="J35" s="958"/>
      <c r="K35" s="958"/>
      <c r="L35" s="958"/>
      <c r="M35" s="958"/>
      <c r="N35" s="958"/>
    </row>
    <row r="36" spans="1:17">
      <c r="A36" s="915">
        <v>45716</v>
      </c>
      <c r="B36" s="958"/>
      <c r="C36" s="958"/>
      <c r="D36" s="958"/>
      <c r="E36" s="958"/>
      <c r="F36" s="958"/>
      <c r="G36" s="958"/>
      <c r="H36" s="958"/>
      <c r="I36" s="958"/>
      <c r="J36" s="958"/>
      <c r="K36" s="958"/>
      <c r="L36" s="958"/>
      <c r="M36" s="958"/>
      <c r="N36" s="958"/>
    </row>
    <row r="37" spans="1:17">
      <c r="A37" s="915">
        <v>45747</v>
      </c>
      <c r="B37" s="958"/>
      <c r="C37" s="958"/>
      <c r="D37" s="958"/>
      <c r="E37" s="958"/>
      <c r="F37" s="958"/>
      <c r="G37" s="958"/>
      <c r="H37" s="958"/>
      <c r="I37" s="958"/>
      <c r="J37" s="958"/>
      <c r="K37" s="958"/>
      <c r="L37" s="958"/>
      <c r="M37" s="958"/>
      <c r="N37" s="958"/>
    </row>
    <row r="38" spans="1:17" s="331" customFormat="1">
      <c r="A38" s="743" t="str">
        <f>"$ indicates as on "&amp;TEXT(IF(COUNT(B26:B37)=1,A26,IF(COUNT(B26:B37)=2,A27,IF(COUNT(B26:B37)=3,A28,IF(COUNT(B26:B37)=4,A29,IF(COUNT(B26:B37)=5,A30,IF(COUNT(B26:B37)=6,A31,IF(COUNT(B26:B37)=7,A32,IF(COUNT(B26:B37)=8,A33,IF(COUNT(B26:B37)=9,A34,IF(COUNT(B26:B37)=10,A35,IF(COUNT(B26:B37)=11,A36,A37))))))))))),"mmmm dd, yyyy")</f>
        <v>$ indicates as on August 31, 2024</v>
      </c>
      <c r="B38" s="336"/>
      <c r="C38" s="336"/>
      <c r="D38" s="336"/>
      <c r="E38" s="336"/>
      <c r="F38" s="336"/>
      <c r="G38" s="336"/>
      <c r="H38" s="336"/>
      <c r="I38" s="336"/>
      <c r="J38" s="336"/>
      <c r="K38" s="336"/>
      <c r="L38" s="336"/>
      <c r="M38" s="336"/>
      <c r="N38" s="336"/>
      <c r="Q38" s="336"/>
    </row>
    <row r="39" spans="1:17">
      <c r="A39" s="912" t="s">
        <v>265</v>
      </c>
    </row>
    <row r="40" spans="1:17">
      <c r="L40" s="1171"/>
    </row>
    <row r="41" spans="1:17">
      <c r="L41" s="1171"/>
    </row>
  </sheetData>
  <mergeCells count="24">
    <mergeCell ref="A2:N2"/>
    <mergeCell ref="A3:A4"/>
    <mergeCell ref="B3:B4"/>
    <mergeCell ref="C3:D3"/>
    <mergeCell ref="E3:F3"/>
    <mergeCell ref="G3:H3"/>
    <mergeCell ref="I3:J3"/>
    <mergeCell ref="K3:L3"/>
    <mergeCell ref="M3:N3"/>
    <mergeCell ref="A20:N20"/>
    <mergeCell ref="A21:A23"/>
    <mergeCell ref="B21:B23"/>
    <mergeCell ref="C21:F21"/>
    <mergeCell ref="G21:J21"/>
    <mergeCell ref="K21:L21"/>
    <mergeCell ref="M21:N21"/>
    <mergeCell ref="C22:D22"/>
    <mergeCell ref="E22:F22"/>
    <mergeCell ref="G22:H22"/>
    <mergeCell ref="I22:J22"/>
    <mergeCell ref="K22:K23"/>
    <mergeCell ref="L22:L23"/>
    <mergeCell ref="M22:M23"/>
    <mergeCell ref="N22:N23"/>
  </mergeCells>
  <printOptions horizontalCentered="1"/>
  <pageMargins left="0.7" right="0.7" top="0.75" bottom="0.75" header="0.3" footer="0.3"/>
  <pageSetup scale="73" orientation="landscape" r:id="rId1"/>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X67"/>
  <sheetViews>
    <sheetView workbookViewId="0"/>
  </sheetViews>
  <sheetFormatPr defaultColWidth="9.140625" defaultRowHeight="15"/>
  <cols>
    <col min="1" max="1" width="13.140625" style="331" customWidth="1"/>
    <col min="2" max="4" width="8.7109375" style="331" customWidth="1"/>
    <col min="5" max="5" width="13.28515625" style="331" customWidth="1"/>
    <col min="6" max="7" width="8.7109375" style="331" customWidth="1"/>
    <col min="8" max="11" width="9.28515625" style="331" bestFit="1" customWidth="1"/>
    <col min="12" max="12" width="9.7109375" style="331" bestFit="1" customWidth="1"/>
    <col min="13" max="13" width="9.28515625" style="331" bestFit="1" customWidth="1"/>
    <col min="14" max="14" width="9.5703125" style="331" bestFit="1" customWidth="1"/>
    <col min="15" max="16384" width="9.140625" style="331"/>
  </cols>
  <sheetData>
    <row r="1" spans="1:10" ht="15.75">
      <c r="A1" s="985" t="s">
        <v>1158</v>
      </c>
      <c r="B1" s="986"/>
      <c r="C1" s="986"/>
      <c r="D1" s="986"/>
      <c r="E1" s="986"/>
      <c r="F1" s="986"/>
      <c r="G1" s="986"/>
      <c r="H1" s="986"/>
      <c r="I1" s="986"/>
      <c r="J1" s="987"/>
    </row>
    <row r="2" spans="1:10" ht="96.75" customHeight="1">
      <c r="A2" s="988" t="s">
        <v>1159</v>
      </c>
      <c r="B2" s="989" t="s">
        <v>1160</v>
      </c>
      <c r="C2" s="989" t="s">
        <v>1161</v>
      </c>
      <c r="D2" s="989" t="s">
        <v>1162</v>
      </c>
      <c r="E2" s="989" t="s">
        <v>1163</v>
      </c>
      <c r="F2" s="989" t="s">
        <v>1164</v>
      </c>
      <c r="G2" s="989" t="s">
        <v>300</v>
      </c>
      <c r="H2" s="990"/>
      <c r="I2" s="336"/>
    </row>
    <row r="3" spans="1:10">
      <c r="A3" s="1570" t="s">
        <v>76</v>
      </c>
      <c r="B3" s="1571"/>
      <c r="C3" s="1571"/>
      <c r="D3" s="1571"/>
      <c r="E3" s="1571"/>
      <c r="F3" s="1571"/>
      <c r="G3" s="1571"/>
      <c r="H3" s="990"/>
      <c r="I3" s="336"/>
    </row>
    <row r="4" spans="1:10">
      <c r="A4" s="922" t="s">
        <v>518</v>
      </c>
      <c r="B4" s="991">
        <v>1.5620775180048118E-5</v>
      </c>
      <c r="C4" s="991">
        <v>1.8583842689575554</v>
      </c>
      <c r="D4" s="991">
        <v>52.098543558254619</v>
      </c>
      <c r="E4" s="991">
        <v>0.12731865583125868</v>
      </c>
      <c r="F4" s="991">
        <v>0.83925304899422848</v>
      </c>
      <c r="G4" s="991">
        <v>45.077417482594498</v>
      </c>
      <c r="H4" s="990"/>
      <c r="I4" s="336"/>
    </row>
    <row r="5" spans="1:10">
      <c r="A5" s="923" t="s">
        <v>743</v>
      </c>
      <c r="B5" s="1158">
        <v>2.4333964191354991E-6</v>
      </c>
      <c r="C5" s="1158">
        <v>1.4490334798293276</v>
      </c>
      <c r="D5" s="1158">
        <v>54.599836088629402</v>
      </c>
      <c r="E5" s="1158">
        <v>4.9393412342396803E-2</v>
      </c>
      <c r="F5" s="1158">
        <v>1.8482886835507886</v>
      </c>
      <c r="G5" s="1158">
        <v>42.053445902251674</v>
      </c>
      <c r="H5" s="990"/>
      <c r="I5" s="336"/>
    </row>
    <row r="6" spans="1:10">
      <c r="A6" s="174">
        <v>45412</v>
      </c>
      <c r="B6" s="992">
        <v>2.04639223657122E-5</v>
      </c>
      <c r="C6" s="992">
        <v>1.4985911929694009</v>
      </c>
      <c r="D6" s="992">
        <v>53.987148120657181</v>
      </c>
      <c r="E6" s="992">
        <v>6.1374041305228277E-2</v>
      </c>
      <c r="F6" s="992">
        <v>1.0688517055320308</v>
      </c>
      <c r="G6" s="992">
        <v>43.384012458043955</v>
      </c>
      <c r="H6" s="990"/>
      <c r="I6" s="336"/>
    </row>
    <row r="7" spans="1:10">
      <c r="A7" s="174">
        <v>45443</v>
      </c>
      <c r="B7" s="992">
        <v>2.0736362352250552E-6</v>
      </c>
      <c r="C7" s="992">
        <v>1.1974089241918995</v>
      </c>
      <c r="D7" s="992">
        <v>54.182427008513812</v>
      </c>
      <c r="E7" s="992">
        <v>8.8129783954268973E-2</v>
      </c>
      <c r="F7" s="992">
        <v>1.0387463553540826</v>
      </c>
      <c r="G7" s="992">
        <v>43.493286586221387</v>
      </c>
      <c r="H7" s="990"/>
      <c r="I7" s="336"/>
    </row>
    <row r="8" spans="1:10">
      <c r="A8" s="174">
        <v>45473</v>
      </c>
      <c r="B8" s="992">
        <v>1.7483593801933231E-5</v>
      </c>
      <c r="C8" s="992">
        <v>1.2142828498837597</v>
      </c>
      <c r="D8" s="992">
        <v>53.77768837651363</v>
      </c>
      <c r="E8" s="992">
        <v>5.789268656722802E-2</v>
      </c>
      <c r="F8" s="992">
        <v>1.1848478538124383</v>
      </c>
      <c r="G8" s="992">
        <v>43.765270613038616</v>
      </c>
      <c r="H8" s="990"/>
      <c r="I8" s="336"/>
    </row>
    <row r="9" spans="1:10">
      <c r="A9" s="174">
        <v>45504</v>
      </c>
      <c r="B9" s="992">
        <v>2.0387597233965888E-5</v>
      </c>
      <c r="C9" s="992">
        <v>1.3796145560528066</v>
      </c>
      <c r="D9" s="992">
        <v>53.012699864350566</v>
      </c>
      <c r="E9" s="992">
        <v>9.8134418097890475E-2</v>
      </c>
      <c r="F9" s="992">
        <v>1.5492222082635885</v>
      </c>
      <c r="G9" s="992">
        <v>43.960307005931064</v>
      </c>
      <c r="H9" s="990"/>
      <c r="I9" s="336"/>
    </row>
    <row r="10" spans="1:10">
      <c r="A10" s="174">
        <v>45535</v>
      </c>
      <c r="B10" s="992">
        <v>2.4333964191354991E-6</v>
      </c>
      <c r="C10" s="992">
        <v>1.4490334798293276</v>
      </c>
      <c r="D10" s="992">
        <v>54.599836088629402</v>
      </c>
      <c r="E10" s="992">
        <v>4.9393412342396803E-2</v>
      </c>
      <c r="F10" s="992">
        <v>1.8482886835507886</v>
      </c>
      <c r="G10" s="992">
        <v>42.053445902251674</v>
      </c>
      <c r="H10" s="990"/>
      <c r="I10" s="336"/>
    </row>
    <row r="11" spans="1:10">
      <c r="A11" s="174">
        <v>45565</v>
      </c>
      <c r="B11" s="993"/>
      <c r="C11" s="993"/>
      <c r="D11" s="993"/>
      <c r="E11" s="993"/>
      <c r="F11" s="993"/>
      <c r="G11" s="993"/>
      <c r="H11" s="990"/>
      <c r="I11" s="336"/>
    </row>
    <row r="12" spans="1:10">
      <c r="A12" s="174">
        <v>45596</v>
      </c>
      <c r="B12" s="993"/>
      <c r="C12" s="993"/>
      <c r="D12" s="993"/>
      <c r="E12" s="993"/>
      <c r="F12" s="993"/>
      <c r="G12" s="993"/>
      <c r="H12" s="990"/>
      <c r="I12" s="336"/>
    </row>
    <row r="13" spans="1:10">
      <c r="A13" s="174">
        <v>45626</v>
      </c>
      <c r="B13" s="993"/>
      <c r="C13" s="993"/>
      <c r="D13" s="993"/>
      <c r="E13" s="993"/>
      <c r="F13" s="993"/>
      <c r="G13" s="993"/>
      <c r="H13" s="990"/>
      <c r="I13" s="336"/>
    </row>
    <row r="14" spans="1:10">
      <c r="A14" s="174">
        <v>45657</v>
      </c>
      <c r="B14" s="993"/>
      <c r="C14" s="993"/>
      <c r="D14" s="993"/>
      <c r="E14" s="993"/>
      <c r="F14" s="993"/>
      <c r="G14" s="993"/>
      <c r="H14" s="990"/>
      <c r="I14" s="336"/>
    </row>
    <row r="15" spans="1:10">
      <c r="A15" s="174">
        <v>45688</v>
      </c>
      <c r="B15" s="993"/>
      <c r="C15" s="993"/>
      <c r="D15" s="993"/>
      <c r="E15" s="993"/>
      <c r="F15" s="993"/>
      <c r="G15" s="993"/>
      <c r="H15" s="990"/>
      <c r="I15" s="336"/>
    </row>
    <row r="16" spans="1:10">
      <c r="A16" s="174">
        <v>45716</v>
      </c>
      <c r="B16" s="993"/>
      <c r="C16" s="993"/>
      <c r="D16" s="993"/>
      <c r="E16" s="993"/>
      <c r="F16" s="993"/>
      <c r="G16" s="993"/>
      <c r="H16" s="990"/>
      <c r="I16" s="336"/>
    </row>
    <row r="17" spans="1:24">
      <c r="A17" s="174">
        <v>45747</v>
      </c>
      <c r="B17" s="992"/>
      <c r="C17" s="993"/>
      <c r="D17" s="993"/>
      <c r="E17" s="993"/>
      <c r="F17" s="994"/>
      <c r="G17" s="993"/>
      <c r="H17" s="990"/>
      <c r="I17" s="912"/>
      <c r="J17" s="995"/>
      <c r="K17" s="995"/>
      <c r="L17" s="995"/>
      <c r="M17" s="995"/>
      <c r="N17" s="995"/>
      <c r="O17" s="995"/>
    </row>
    <row r="18" spans="1:24" s="995" customFormat="1">
      <c r="A18" s="1572" t="s">
        <v>77</v>
      </c>
      <c r="B18" s="1573"/>
      <c r="C18" s="1573"/>
      <c r="D18" s="1573"/>
      <c r="E18" s="1573"/>
      <c r="F18" s="1573"/>
      <c r="G18" s="1573"/>
      <c r="H18" s="990"/>
      <c r="I18" s="912"/>
    </row>
    <row r="19" spans="1:24" s="995" customFormat="1">
      <c r="A19" s="996" t="s">
        <v>518</v>
      </c>
      <c r="B19" s="997">
        <v>0.40935803287414579</v>
      </c>
      <c r="C19" s="997">
        <v>5.3006490727428925</v>
      </c>
      <c r="D19" s="997">
        <v>36.346196744198778</v>
      </c>
      <c r="E19" s="997">
        <v>7.3856189843789735E-2</v>
      </c>
      <c r="F19" s="997">
        <v>7.8131563951853273E-4</v>
      </c>
      <c r="G19" s="997">
        <v>57.869158644700846</v>
      </c>
      <c r="H19" s="998"/>
      <c r="I19" s="912"/>
    </row>
    <row r="20" spans="1:24" s="995" customFormat="1">
      <c r="A20" s="999" t="s">
        <v>743</v>
      </c>
      <c r="B20" s="997">
        <v>0.11480578899729231</v>
      </c>
      <c r="C20" s="997">
        <v>3.3582288886419023</v>
      </c>
      <c r="D20" s="997">
        <v>22.496835740078332</v>
      </c>
      <c r="E20" s="997">
        <v>0</v>
      </c>
      <c r="F20" s="997">
        <v>0</v>
      </c>
      <c r="G20" s="997">
        <v>74.030129582282484</v>
      </c>
      <c r="H20" s="998"/>
      <c r="I20" s="912"/>
    </row>
    <row r="21" spans="1:24" s="995" customFormat="1">
      <c r="A21" s="174">
        <v>45412</v>
      </c>
      <c r="B21" s="992">
        <v>0.19280189841118459</v>
      </c>
      <c r="C21" s="992">
        <v>8.0141967175694155</v>
      </c>
      <c r="D21" s="1000">
        <v>42.517111837456682</v>
      </c>
      <c r="E21" s="1000">
        <v>0.12402962931060434</v>
      </c>
      <c r="F21" s="994">
        <v>0</v>
      </c>
      <c r="G21" s="1000">
        <v>49.151859917252118</v>
      </c>
      <c r="H21" s="998"/>
      <c r="I21" s="912"/>
    </row>
    <row r="22" spans="1:24" s="995" customFormat="1">
      <c r="A22" s="174">
        <v>45443</v>
      </c>
      <c r="B22" s="1000">
        <v>8.9757197212749579E-2</v>
      </c>
      <c r="C22" s="1000">
        <v>3.9023546967300344</v>
      </c>
      <c r="D22" s="1000">
        <v>20.567767536692642</v>
      </c>
      <c r="E22" s="1000">
        <v>2.4200139260646858E-3</v>
      </c>
      <c r="F22" s="1000">
        <v>0</v>
      </c>
      <c r="G22" s="1000">
        <v>75.437700555438497</v>
      </c>
      <c r="H22" s="998"/>
      <c r="I22" s="912"/>
    </row>
    <row r="23" spans="1:24" s="995" customFormat="1">
      <c r="A23" s="174">
        <v>45473</v>
      </c>
      <c r="B23" s="1000">
        <v>0.17309022387291059</v>
      </c>
      <c r="C23" s="1000">
        <v>8.5190441784481159</v>
      </c>
      <c r="D23" s="1000">
        <v>42.345400449539909</v>
      </c>
      <c r="E23" s="1000">
        <v>0</v>
      </c>
      <c r="F23" s="1000">
        <v>0</v>
      </c>
      <c r="G23" s="1000">
        <v>48.962465148139067</v>
      </c>
      <c r="H23" s="331"/>
      <c r="I23" s="912"/>
    </row>
    <row r="24" spans="1:24" s="995" customFormat="1">
      <c r="A24" s="174">
        <v>45504</v>
      </c>
      <c r="B24" s="1000">
        <v>0.13690595229412184</v>
      </c>
      <c r="C24" s="1000">
        <v>7.7833382761724357</v>
      </c>
      <c r="D24" s="1000">
        <v>43.974285475768532</v>
      </c>
      <c r="E24" s="1000">
        <v>0</v>
      </c>
      <c r="F24" s="1000">
        <v>0</v>
      </c>
      <c r="G24" s="1000">
        <v>48.105470295764903</v>
      </c>
      <c r="H24" s="331"/>
      <c r="I24" s="912"/>
    </row>
    <row r="25" spans="1:24" s="995" customFormat="1">
      <c r="A25" s="174">
        <v>45535</v>
      </c>
      <c r="B25" s="1000">
        <v>0.11480578899729231</v>
      </c>
      <c r="C25" s="1000">
        <v>3.3582288886419023</v>
      </c>
      <c r="D25" s="1000">
        <v>22.496835740078332</v>
      </c>
      <c r="E25" s="1000">
        <v>0</v>
      </c>
      <c r="F25" s="1000">
        <v>0</v>
      </c>
      <c r="G25" s="1000">
        <v>74.030129582282484</v>
      </c>
      <c r="H25" s="331"/>
      <c r="I25" s="912"/>
    </row>
    <row r="26" spans="1:24" s="995" customFormat="1">
      <c r="A26" s="174">
        <v>45565</v>
      </c>
      <c r="B26" s="1000"/>
      <c r="C26" s="1000"/>
      <c r="D26" s="1000"/>
      <c r="E26" s="1000"/>
      <c r="F26" s="1000"/>
      <c r="G26" s="1000"/>
      <c r="H26" s="998"/>
      <c r="I26" s="912"/>
    </row>
    <row r="27" spans="1:24" s="995" customFormat="1">
      <c r="A27" s="174">
        <v>45596</v>
      </c>
      <c r="B27" s="1000"/>
      <c r="C27" s="1000"/>
      <c r="D27" s="1000"/>
      <c r="E27" s="1000"/>
      <c r="F27" s="1000"/>
      <c r="G27" s="1000"/>
      <c r="H27" s="998"/>
      <c r="I27" s="912"/>
    </row>
    <row r="28" spans="1:24" s="995" customFormat="1">
      <c r="A28" s="174">
        <v>45626</v>
      </c>
      <c r="B28" s="1000"/>
      <c r="C28" s="1000"/>
      <c r="D28" s="1000"/>
      <c r="E28" s="1000"/>
      <c r="F28" s="1000"/>
      <c r="G28" s="1000"/>
      <c r="H28" s="998"/>
      <c r="I28" s="912"/>
    </row>
    <row r="29" spans="1:24" s="340" customFormat="1">
      <c r="A29" s="174">
        <v>45657</v>
      </c>
      <c r="B29" s="1000"/>
      <c r="C29" s="1000"/>
      <c r="D29" s="1000"/>
      <c r="E29" s="1000"/>
      <c r="F29" s="1000"/>
      <c r="G29" s="1000"/>
      <c r="H29" s="998"/>
      <c r="I29" s="912"/>
      <c r="J29" s="995"/>
      <c r="K29" s="995"/>
      <c r="L29" s="995"/>
      <c r="M29" s="995"/>
      <c r="N29" s="995"/>
      <c r="O29" s="995"/>
      <c r="P29" s="995"/>
      <c r="Q29" s="995"/>
      <c r="R29" s="995"/>
      <c r="S29" s="995"/>
      <c r="T29" s="995"/>
      <c r="U29" s="995"/>
      <c r="V29" s="995"/>
      <c r="W29" s="995"/>
      <c r="X29" s="995"/>
    </row>
    <row r="30" spans="1:24">
      <c r="A30" s="174">
        <v>45688</v>
      </c>
      <c r="B30" s="1000"/>
      <c r="C30" s="1000"/>
      <c r="D30" s="1000"/>
      <c r="E30" s="1000"/>
      <c r="F30" s="1000"/>
      <c r="G30" s="1000"/>
      <c r="H30" s="998"/>
      <c r="I30" s="912"/>
      <c r="J30" s="995"/>
      <c r="K30" s="995"/>
      <c r="L30" s="995"/>
      <c r="M30" s="995"/>
      <c r="N30" s="995"/>
      <c r="O30" s="995"/>
      <c r="P30" s="995"/>
      <c r="Q30" s="995"/>
      <c r="R30" s="995"/>
      <c r="S30" s="995"/>
      <c r="T30" s="995"/>
      <c r="U30" s="995"/>
      <c r="V30" s="995"/>
      <c r="W30" s="995"/>
      <c r="X30" s="995"/>
    </row>
    <row r="31" spans="1:24" s="995" customFormat="1">
      <c r="A31" s="174">
        <v>45716</v>
      </c>
      <c r="B31" s="1000"/>
      <c r="C31" s="1000"/>
      <c r="D31" s="1000"/>
      <c r="E31" s="1000"/>
      <c r="F31" s="1000"/>
      <c r="G31" s="1000"/>
      <c r="H31" s="998"/>
      <c r="I31" s="912"/>
    </row>
    <row r="32" spans="1:24" s="995" customFormat="1">
      <c r="A32" s="174">
        <v>45747</v>
      </c>
      <c r="B32" s="992"/>
      <c r="C32" s="992"/>
      <c r="D32" s="993"/>
      <c r="E32" s="1000"/>
      <c r="F32" s="994"/>
      <c r="G32" s="993"/>
      <c r="H32" s="998"/>
      <c r="I32" s="912"/>
    </row>
    <row r="33" spans="1:24" s="995" customFormat="1">
      <c r="A33" s="1574" t="s">
        <v>73</v>
      </c>
      <c r="B33" s="1575"/>
      <c r="C33" s="1575"/>
      <c r="D33" s="1575"/>
      <c r="E33" s="1575"/>
      <c r="F33" s="1575"/>
      <c r="G33" s="1575"/>
      <c r="H33" s="998"/>
      <c r="I33" s="912"/>
    </row>
    <row r="34" spans="1:24" s="995" customFormat="1">
      <c r="A34" s="1001" t="s">
        <v>518</v>
      </c>
      <c r="B34" s="997">
        <v>0</v>
      </c>
      <c r="C34" s="997">
        <v>1.5405191424264499</v>
      </c>
      <c r="D34" s="997">
        <v>6.0151927214496297</v>
      </c>
      <c r="E34" s="997">
        <v>0</v>
      </c>
      <c r="F34" s="997">
        <v>0</v>
      </c>
      <c r="G34" s="997">
        <v>92.444288136123902</v>
      </c>
      <c r="H34" s="998"/>
      <c r="I34" s="912"/>
    </row>
    <row r="35" spans="1:24" s="995" customFormat="1">
      <c r="A35" s="1002" t="s">
        <v>743</v>
      </c>
      <c r="B35" s="997">
        <v>0</v>
      </c>
      <c r="C35" s="997">
        <v>11.168095972808571</v>
      </c>
      <c r="D35" s="997">
        <v>57.340612504024499</v>
      </c>
      <c r="E35" s="997">
        <v>0</v>
      </c>
      <c r="F35" s="997">
        <v>0</v>
      </c>
      <c r="G35" s="997">
        <v>31.491291523166932</v>
      </c>
      <c r="H35" s="998"/>
      <c r="I35" s="912"/>
    </row>
    <row r="36" spans="1:24" s="995" customFormat="1">
      <c r="A36" s="174">
        <v>45412</v>
      </c>
      <c r="B36" s="992">
        <v>0</v>
      </c>
      <c r="C36" s="992">
        <v>0</v>
      </c>
      <c r="D36" s="1003">
        <v>50</v>
      </c>
      <c r="E36" s="1000">
        <v>0</v>
      </c>
      <c r="F36" s="994">
        <v>0</v>
      </c>
      <c r="G36" s="1003">
        <v>50</v>
      </c>
      <c r="H36" s="998"/>
      <c r="I36" s="912"/>
    </row>
    <row r="37" spans="1:24" s="995" customFormat="1">
      <c r="A37" s="174">
        <v>45443</v>
      </c>
      <c r="B37" s="1000">
        <v>0</v>
      </c>
      <c r="C37" s="1000">
        <v>0</v>
      </c>
      <c r="D37" s="1000">
        <v>50</v>
      </c>
      <c r="E37" s="1000">
        <v>0</v>
      </c>
      <c r="F37" s="1000">
        <v>0</v>
      </c>
      <c r="G37" s="1000">
        <v>50</v>
      </c>
      <c r="H37" s="998"/>
      <c r="I37" s="912"/>
    </row>
    <row r="38" spans="1:24" s="995" customFormat="1">
      <c r="A38" s="174">
        <v>45473</v>
      </c>
      <c r="B38" s="1000">
        <v>0</v>
      </c>
      <c r="C38" s="1000">
        <v>0</v>
      </c>
      <c r="D38" s="1000">
        <v>50</v>
      </c>
      <c r="E38" s="1000">
        <v>0</v>
      </c>
      <c r="F38" s="1000">
        <v>0</v>
      </c>
      <c r="G38" s="1000">
        <v>50</v>
      </c>
      <c r="H38" s="998"/>
      <c r="I38" s="912"/>
    </row>
    <row r="39" spans="1:24" s="995" customFormat="1">
      <c r="A39" s="174">
        <v>45504</v>
      </c>
      <c r="B39" s="1000">
        <v>0</v>
      </c>
      <c r="C39" s="1000">
        <v>0</v>
      </c>
      <c r="D39" s="1000">
        <v>50</v>
      </c>
      <c r="E39" s="1000">
        <v>0</v>
      </c>
      <c r="F39" s="1000">
        <v>0</v>
      </c>
      <c r="G39" s="1000">
        <v>50</v>
      </c>
      <c r="H39" s="998"/>
      <c r="I39" s="912"/>
    </row>
    <row r="40" spans="1:24" s="995" customFormat="1">
      <c r="A40" s="174">
        <v>45535</v>
      </c>
      <c r="B40" s="1000">
        <v>0</v>
      </c>
      <c r="C40" s="1000">
        <v>11.168095972808571</v>
      </c>
      <c r="D40" s="1000">
        <v>57.340612504024499</v>
      </c>
      <c r="E40" s="1000">
        <v>0</v>
      </c>
      <c r="F40" s="1000">
        <v>0</v>
      </c>
      <c r="G40" s="1000">
        <v>31.491291523166932</v>
      </c>
      <c r="H40" s="998"/>
      <c r="I40" s="912"/>
    </row>
    <row r="41" spans="1:24" s="995" customFormat="1">
      <c r="A41" s="174">
        <v>45565</v>
      </c>
      <c r="B41" s="1000"/>
      <c r="C41" s="1000"/>
      <c r="D41" s="1000"/>
      <c r="E41" s="1000"/>
      <c r="F41" s="1000"/>
      <c r="G41" s="1000"/>
      <c r="H41" s="998"/>
      <c r="I41" s="912"/>
    </row>
    <row r="42" spans="1:24" s="340" customFormat="1">
      <c r="A42" s="174">
        <v>45596</v>
      </c>
      <c r="B42" s="1000"/>
      <c r="C42" s="1000"/>
      <c r="D42" s="1000"/>
      <c r="E42" s="1000"/>
      <c r="F42" s="1000"/>
      <c r="G42" s="1000"/>
      <c r="H42" s="998"/>
      <c r="I42" s="912"/>
      <c r="J42" s="995"/>
      <c r="K42" s="995"/>
      <c r="L42" s="995"/>
      <c r="M42" s="995"/>
      <c r="N42" s="995"/>
      <c r="O42" s="995"/>
      <c r="P42" s="995"/>
      <c r="Q42" s="995"/>
      <c r="R42" s="995"/>
      <c r="S42" s="995"/>
      <c r="T42" s="995"/>
      <c r="U42" s="995"/>
      <c r="V42" s="995"/>
      <c r="W42" s="995"/>
      <c r="X42" s="995"/>
    </row>
    <row r="43" spans="1:24">
      <c r="A43" s="174">
        <v>45626</v>
      </c>
      <c r="B43" s="1000"/>
      <c r="C43" s="1000"/>
      <c r="D43" s="1000"/>
      <c r="E43" s="1000"/>
      <c r="F43" s="1000"/>
      <c r="G43" s="1000"/>
      <c r="H43" s="998"/>
      <c r="I43" s="912"/>
      <c r="J43" s="995"/>
      <c r="K43" s="995"/>
      <c r="L43" s="995"/>
      <c r="M43" s="995"/>
      <c r="N43" s="995"/>
      <c r="O43" s="995"/>
      <c r="P43" s="995"/>
      <c r="Q43" s="995"/>
      <c r="R43" s="995"/>
      <c r="S43" s="995"/>
      <c r="T43" s="995"/>
      <c r="U43" s="995"/>
      <c r="V43" s="995"/>
      <c r="W43" s="995"/>
      <c r="X43" s="995"/>
    </row>
    <row r="44" spans="1:24">
      <c r="A44" s="174">
        <v>45657</v>
      </c>
      <c r="B44" s="1000"/>
      <c r="C44" s="1000"/>
      <c r="D44" s="1000"/>
      <c r="E44" s="1000"/>
      <c r="F44" s="1000"/>
      <c r="G44" s="1000"/>
      <c r="H44" s="998"/>
      <c r="I44" s="912" t="s">
        <v>1104</v>
      </c>
      <c r="J44" s="995"/>
      <c r="K44" s="995"/>
      <c r="L44" s="995"/>
      <c r="M44" s="995"/>
      <c r="N44" s="995"/>
      <c r="O44" s="995"/>
      <c r="P44" s="995"/>
      <c r="Q44" s="995"/>
      <c r="R44" s="995"/>
      <c r="S44" s="995"/>
      <c r="T44" s="995"/>
      <c r="U44" s="995"/>
      <c r="V44" s="995"/>
      <c r="W44" s="995"/>
      <c r="X44" s="995"/>
    </row>
    <row r="45" spans="1:24">
      <c r="A45" s="174">
        <v>45688</v>
      </c>
      <c r="B45" s="1000"/>
      <c r="C45" s="1000"/>
      <c r="D45" s="1000"/>
      <c r="E45" s="1000"/>
      <c r="F45" s="1000"/>
      <c r="G45" s="1000"/>
      <c r="H45" s="998"/>
      <c r="I45" s="912" t="s">
        <v>1104</v>
      </c>
      <c r="J45" s="995"/>
      <c r="K45" s="995"/>
      <c r="L45" s="995"/>
      <c r="M45" s="995"/>
      <c r="N45" s="995"/>
      <c r="O45" s="995"/>
      <c r="P45" s="995"/>
      <c r="Q45" s="995"/>
      <c r="R45" s="995"/>
      <c r="S45" s="995"/>
      <c r="T45" s="995"/>
      <c r="U45" s="995"/>
      <c r="V45" s="995"/>
      <c r="W45" s="995"/>
      <c r="X45" s="995"/>
    </row>
    <row r="46" spans="1:24">
      <c r="A46" s="174">
        <v>45716</v>
      </c>
      <c r="B46" s="1000"/>
      <c r="C46" s="1000"/>
      <c r="D46" s="1000"/>
      <c r="E46" s="1000"/>
      <c r="F46" s="1000"/>
      <c r="G46" s="1000"/>
      <c r="H46" s="998"/>
      <c r="I46" s="912"/>
      <c r="J46" s="995"/>
      <c r="K46" s="995"/>
      <c r="L46" s="995"/>
      <c r="M46" s="995"/>
      <c r="N46" s="995"/>
      <c r="O46" s="995"/>
      <c r="P46" s="995"/>
      <c r="Q46" s="995"/>
      <c r="R46" s="995"/>
    </row>
    <row r="47" spans="1:24">
      <c r="A47" s="174">
        <v>45747</v>
      </c>
      <c r="B47" s="992"/>
      <c r="C47" s="992"/>
      <c r="D47" s="1003"/>
      <c r="E47" s="1000"/>
      <c r="F47" s="994"/>
      <c r="G47" s="1003"/>
      <c r="H47" s="998"/>
      <c r="I47" s="912"/>
      <c r="J47" s="995"/>
      <c r="K47" s="995"/>
      <c r="L47" s="995"/>
      <c r="M47" s="995"/>
      <c r="N47" s="995"/>
      <c r="O47" s="995"/>
      <c r="P47" s="995"/>
      <c r="Q47" s="995"/>
      <c r="R47" s="995"/>
    </row>
    <row r="48" spans="1:24">
      <c r="A48" s="1576" t="s">
        <v>74</v>
      </c>
      <c r="B48" s="1577"/>
      <c r="C48" s="1577"/>
      <c r="D48" s="1577"/>
      <c r="E48" s="1577"/>
      <c r="F48" s="1577"/>
      <c r="G48" s="1577"/>
      <c r="H48" s="998"/>
      <c r="I48" s="912"/>
      <c r="J48" s="995"/>
      <c r="K48" s="995"/>
      <c r="L48" s="995"/>
      <c r="M48" s="995"/>
      <c r="N48" s="995"/>
      <c r="O48" s="995"/>
      <c r="P48" s="995"/>
      <c r="Q48" s="995"/>
      <c r="R48" s="995"/>
    </row>
    <row r="49" spans="1:18">
      <c r="A49" s="1004" t="s">
        <v>518</v>
      </c>
      <c r="B49" s="1005" t="s">
        <v>235</v>
      </c>
      <c r="C49" s="1005">
        <v>5.2353496573370835E-3</v>
      </c>
      <c r="D49" s="1005">
        <v>88.170176257583691</v>
      </c>
      <c r="E49" s="1005" t="s">
        <v>235</v>
      </c>
      <c r="F49" s="1005">
        <v>1.1997863184195538E-2</v>
      </c>
      <c r="G49" s="1005">
        <v>11.809894146159598</v>
      </c>
      <c r="H49" s="998"/>
      <c r="I49" s="912"/>
      <c r="J49" s="995"/>
      <c r="K49" s="995"/>
      <c r="L49" s="995"/>
      <c r="M49" s="995"/>
      <c r="N49" s="995"/>
      <c r="O49" s="995"/>
      <c r="P49" s="995"/>
      <c r="Q49" s="995"/>
      <c r="R49" s="995"/>
    </row>
    <row r="50" spans="1:18">
      <c r="A50" s="1006" t="s">
        <v>743</v>
      </c>
      <c r="B50" s="992">
        <v>0</v>
      </c>
      <c r="C50" s="992">
        <v>0</v>
      </c>
      <c r="D50" s="1007">
        <v>87.9</v>
      </c>
      <c r="E50" s="1007" t="s">
        <v>235</v>
      </c>
      <c r="F50" s="1007">
        <v>0.04</v>
      </c>
      <c r="G50" s="1007">
        <v>12.06</v>
      </c>
      <c r="H50" s="998"/>
      <c r="I50" s="912"/>
      <c r="J50" s="995"/>
      <c r="K50" s="995"/>
      <c r="L50" s="995"/>
      <c r="M50" s="995"/>
      <c r="N50" s="995"/>
      <c r="O50" s="995"/>
      <c r="P50" s="995"/>
      <c r="Q50" s="995"/>
      <c r="R50" s="995"/>
    </row>
    <row r="51" spans="1:18">
      <c r="A51" s="174">
        <v>45412</v>
      </c>
      <c r="B51" s="992">
        <v>0</v>
      </c>
      <c r="C51" s="992">
        <v>0</v>
      </c>
      <c r="D51" s="1003">
        <v>87.3</v>
      </c>
      <c r="E51" s="994" t="s">
        <v>235</v>
      </c>
      <c r="F51" s="994">
        <v>0.02</v>
      </c>
      <c r="G51" s="1003">
        <v>12.69</v>
      </c>
      <c r="H51" s="990"/>
      <c r="I51" s="912"/>
      <c r="J51" s="995"/>
      <c r="K51" s="995"/>
      <c r="L51" s="995"/>
      <c r="M51" s="995"/>
      <c r="N51" s="995"/>
      <c r="O51" s="995"/>
      <c r="P51" s="995"/>
      <c r="Q51" s="995"/>
      <c r="R51" s="995"/>
    </row>
    <row r="52" spans="1:18">
      <c r="A52" s="174">
        <v>45443</v>
      </c>
      <c r="B52" s="1000">
        <v>0</v>
      </c>
      <c r="C52" s="1000">
        <v>0</v>
      </c>
      <c r="D52" s="994">
        <v>88.52</v>
      </c>
      <c r="E52" s="994" t="s">
        <v>235</v>
      </c>
      <c r="F52" s="994">
        <v>0.06</v>
      </c>
      <c r="G52" s="994">
        <v>11.42</v>
      </c>
      <c r="H52" s="990"/>
      <c r="I52" s="912"/>
      <c r="J52" s="995"/>
      <c r="K52" s="995"/>
      <c r="L52" s="995"/>
      <c r="M52" s="995"/>
      <c r="N52" s="995"/>
      <c r="O52" s="995"/>
      <c r="P52" s="995"/>
      <c r="Q52" s="995"/>
      <c r="R52" s="995"/>
    </row>
    <row r="53" spans="1:18">
      <c r="A53" s="174">
        <v>45473</v>
      </c>
      <c r="B53" s="1000">
        <v>0</v>
      </c>
      <c r="C53" s="1000">
        <v>0</v>
      </c>
      <c r="D53" s="994">
        <v>90.24</v>
      </c>
      <c r="E53" s="994" t="s">
        <v>235</v>
      </c>
      <c r="F53" s="994">
        <v>0.1</v>
      </c>
      <c r="G53" s="994">
        <v>9.66</v>
      </c>
      <c r="H53" s="990"/>
      <c r="I53" s="912"/>
      <c r="J53" s="995"/>
      <c r="K53" s="995"/>
      <c r="L53" s="995"/>
      <c r="M53" s="995"/>
      <c r="N53" s="995"/>
      <c r="O53" s="995"/>
      <c r="P53" s="995"/>
      <c r="Q53" s="995"/>
      <c r="R53" s="995"/>
    </row>
    <row r="54" spans="1:18">
      <c r="A54" s="174">
        <v>45504</v>
      </c>
      <c r="B54" s="1000">
        <v>0</v>
      </c>
      <c r="C54" s="1000">
        <v>0</v>
      </c>
      <c r="D54" s="994">
        <v>88.55</v>
      </c>
      <c r="E54" s="994" t="s">
        <v>235</v>
      </c>
      <c r="F54" s="994">
        <v>0</v>
      </c>
      <c r="G54" s="994">
        <v>11.45</v>
      </c>
      <c r="H54" s="990"/>
      <c r="I54" s="912"/>
      <c r="J54" s="995"/>
      <c r="K54" s="995"/>
      <c r="L54" s="995"/>
      <c r="M54" s="995"/>
      <c r="N54" s="995"/>
      <c r="O54" s="995"/>
      <c r="P54" s="995"/>
      <c r="Q54" s="995"/>
      <c r="R54" s="995"/>
    </row>
    <row r="55" spans="1:18">
      <c r="A55" s="174">
        <v>45535</v>
      </c>
      <c r="B55" s="1000">
        <v>0</v>
      </c>
      <c r="C55" s="1000">
        <v>0</v>
      </c>
      <c r="D55" s="994">
        <v>88.38</v>
      </c>
      <c r="E55" s="994" t="s">
        <v>235</v>
      </c>
      <c r="F55" s="994">
        <v>0.04</v>
      </c>
      <c r="G55" s="994">
        <v>11.57</v>
      </c>
      <c r="H55" s="990"/>
      <c r="I55" s="912"/>
      <c r="J55" s="995"/>
      <c r="K55" s="995"/>
      <c r="L55" s="995"/>
      <c r="M55" s="995"/>
      <c r="N55" s="995"/>
      <c r="O55" s="995"/>
      <c r="P55" s="995"/>
      <c r="Q55" s="995"/>
      <c r="R55" s="995"/>
    </row>
    <row r="56" spans="1:18">
      <c r="A56" s="174">
        <v>45565</v>
      </c>
      <c r="B56" s="994"/>
      <c r="C56" s="994"/>
      <c r="D56" s="994"/>
      <c r="E56" s="994"/>
      <c r="F56" s="994"/>
      <c r="G56" s="994"/>
      <c r="H56" s="990"/>
      <c r="I56" s="336"/>
    </row>
    <row r="57" spans="1:18">
      <c r="A57" s="174">
        <v>45596</v>
      </c>
      <c r="B57" s="994"/>
      <c r="C57" s="994"/>
      <c r="D57" s="994"/>
      <c r="E57" s="994"/>
      <c r="F57" s="994"/>
      <c r="G57" s="994"/>
      <c r="H57" s="990"/>
      <c r="I57" s="336"/>
    </row>
    <row r="58" spans="1:18" ht="15.75" customHeight="1">
      <c r="A58" s="174">
        <v>45626</v>
      </c>
      <c r="B58" s="994"/>
      <c r="C58" s="994"/>
      <c r="D58" s="994"/>
      <c r="E58" s="994"/>
      <c r="F58" s="994"/>
      <c r="G58" s="994"/>
      <c r="H58" s="990"/>
      <c r="I58" s="336"/>
    </row>
    <row r="59" spans="1:18">
      <c r="A59" s="174">
        <v>45657</v>
      </c>
      <c r="B59" s="994"/>
      <c r="C59" s="994"/>
      <c r="D59" s="994"/>
      <c r="E59" s="994"/>
      <c r="F59" s="994"/>
      <c r="G59" s="994"/>
      <c r="H59" s="990"/>
      <c r="I59" s="336"/>
    </row>
    <row r="60" spans="1:18">
      <c r="A60" s="174">
        <v>45688</v>
      </c>
      <c r="B60" s="994"/>
      <c r="C60" s="994"/>
      <c r="D60" s="994"/>
      <c r="E60" s="994"/>
      <c r="F60" s="994"/>
      <c r="G60" s="994"/>
      <c r="H60" s="990"/>
      <c r="I60" s="336"/>
    </row>
    <row r="61" spans="1:18" ht="15" customHeight="1">
      <c r="A61" s="174">
        <v>45716</v>
      </c>
      <c r="B61" s="994"/>
      <c r="C61" s="994"/>
      <c r="D61" s="994"/>
      <c r="E61" s="994"/>
      <c r="F61" s="994"/>
      <c r="G61" s="994"/>
      <c r="H61" s="990"/>
      <c r="I61" s="336"/>
    </row>
    <row r="62" spans="1:18">
      <c r="A62" s="174">
        <v>45747</v>
      </c>
      <c r="B62" s="1000"/>
      <c r="C62" s="1000"/>
      <c r="D62" s="1003"/>
      <c r="E62" s="994"/>
      <c r="F62" s="994"/>
      <c r="G62" s="1003"/>
      <c r="H62" s="990"/>
      <c r="I62" s="336"/>
    </row>
    <row r="63" spans="1:18">
      <c r="A63" s="743" t="str">
        <f>"$ indicates as on "&amp;TEXT(IF(COUNT(B51:B62)=1,A51,IF(COUNT(B51:B62)=2,A52,IF(COUNT(B51:B62)=3,A53,IF(COUNT(B51:B62)=4,A54,IF(COUNT(B51:B62)=5,A55,IF(COUNT(B51:B62)=6,A56,IF(COUNT(B51:B62)=7,A57,IF(COUNT(B51:B62)=8,A58,IF(COUNT(B51:B62)=9,A59,IF(COUNT(B51:B62)=10,A60,IF(COUNT(B51:B62)=11,A61,A62))))))))))),"mmmm dd, yyyy")</f>
        <v>$ indicates as on August 31, 2024</v>
      </c>
      <c r="B63" s="1165"/>
      <c r="C63" s="1165"/>
      <c r="D63" s="1166"/>
      <c r="E63" s="1167"/>
      <c r="F63" s="1167"/>
      <c r="G63" s="1166"/>
      <c r="H63" s="990"/>
      <c r="I63" s="336"/>
    </row>
    <row r="64" spans="1:18">
      <c r="A64" s="1578" t="s">
        <v>1165</v>
      </c>
      <c r="B64" s="1578"/>
      <c r="C64" s="1578"/>
      <c r="D64" s="1578"/>
      <c r="E64" s="1578"/>
      <c r="F64" s="1578"/>
      <c r="G64" s="1578"/>
      <c r="H64" s="1168"/>
      <c r="I64" s="336"/>
    </row>
    <row r="65" spans="1:9">
      <c r="A65" s="1579" t="s">
        <v>1166</v>
      </c>
      <c r="B65" s="1579"/>
      <c r="C65" s="1579"/>
      <c r="D65" s="1579"/>
      <c r="E65" s="1579"/>
      <c r="F65" s="1579"/>
      <c r="G65" s="1579"/>
      <c r="H65" s="1579"/>
      <c r="I65" s="336"/>
    </row>
    <row r="66" spans="1:9">
      <c r="A66" s="1569" t="s">
        <v>1167</v>
      </c>
      <c r="B66" s="1569"/>
      <c r="C66" s="1569"/>
      <c r="D66" s="1569"/>
      <c r="E66" s="1569"/>
      <c r="F66" s="1569"/>
      <c r="G66" s="1569"/>
      <c r="H66" s="1168"/>
      <c r="I66" s="336"/>
    </row>
    <row r="67" spans="1:9">
      <c r="B67" s="336"/>
      <c r="C67" s="336"/>
      <c r="D67" s="336"/>
      <c r="E67" s="336"/>
      <c r="F67" s="336"/>
      <c r="G67" s="336"/>
      <c r="H67" s="336"/>
      <c r="I67" s="336"/>
    </row>
  </sheetData>
  <mergeCells count="7">
    <mergeCell ref="A66:G66"/>
    <mergeCell ref="A3:G3"/>
    <mergeCell ref="A18:G18"/>
    <mergeCell ref="A33:G33"/>
    <mergeCell ref="A48:G48"/>
    <mergeCell ref="A64:G64"/>
    <mergeCell ref="A65:H65"/>
  </mergeCells>
  <printOptions horizontalCentered="1"/>
  <pageMargins left="0.45" right="0.45" top="0.75" bottom="0.75" header="0.3" footer="0.3"/>
  <pageSetup paperSize="9" fitToHeight="0" orientation="portrait" r:id="rId1"/>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H60"/>
  <sheetViews>
    <sheetView workbookViewId="0"/>
  </sheetViews>
  <sheetFormatPr defaultColWidth="9.140625" defaultRowHeight="15"/>
  <cols>
    <col min="1" max="1" width="14" style="1010" customWidth="1"/>
    <col min="2" max="2" width="13.140625" style="1010" customWidth="1"/>
    <col min="3" max="3" width="21.28515625" style="1010" customWidth="1"/>
    <col min="4" max="4" width="18.5703125" style="1053" customWidth="1"/>
    <col min="5" max="5" width="13.7109375" style="1010" customWidth="1"/>
    <col min="6" max="7" width="12.85546875" style="1010" bestFit="1" customWidth="1"/>
    <col min="8" max="8" width="12.5703125" style="1010" bestFit="1" customWidth="1"/>
    <col min="9" max="9" width="11" style="1010" customWidth="1"/>
    <col min="10" max="10" width="11.140625" style="1010" bestFit="1" customWidth="1"/>
    <col min="11" max="11" width="15.140625" style="1010" customWidth="1"/>
    <col min="12" max="13" width="8.7109375" style="1010" customWidth="1"/>
    <col min="14" max="14" width="9.5703125" style="1010" customWidth="1"/>
    <col min="15" max="15" width="12.7109375" style="1010" customWidth="1"/>
    <col min="16" max="19" width="9.140625" style="1010"/>
    <col min="20" max="20" width="26.28515625" style="331" customWidth="1"/>
    <col min="21" max="22" width="9.85546875" style="331" bestFit="1" customWidth="1"/>
    <col min="23" max="29" width="9.140625" style="331"/>
    <col min="30" max="34" width="9.140625" style="1010"/>
    <col min="35" max="16384" width="9.140625" style="331"/>
  </cols>
  <sheetData>
    <row r="1" spans="1:29">
      <c r="A1" s="1008" t="s">
        <v>1168</v>
      </c>
      <c r="B1" s="1008"/>
      <c r="C1" s="1008"/>
      <c r="D1" s="1009"/>
      <c r="E1" s="1008"/>
      <c r="F1" s="1008"/>
      <c r="G1" s="1008"/>
      <c r="H1" s="1008"/>
      <c r="I1" s="1008"/>
      <c r="J1" s="1008"/>
      <c r="K1" s="1008"/>
      <c r="L1" s="1008"/>
      <c r="M1" s="1008"/>
      <c r="N1" s="1008"/>
      <c r="O1" s="1008"/>
      <c r="P1" s="336"/>
      <c r="Q1" s="217"/>
      <c r="R1" s="217"/>
      <c r="T1" s="1010"/>
      <c r="U1" s="1010"/>
      <c r="V1" s="1010"/>
      <c r="W1" s="1010"/>
      <c r="X1" s="1010"/>
      <c r="Y1" s="1010"/>
      <c r="Z1" s="1010"/>
      <c r="AA1" s="1010"/>
      <c r="AB1" s="1010"/>
      <c r="AC1" s="1010"/>
    </row>
    <row r="2" spans="1:29">
      <c r="A2" s="1588" t="s">
        <v>1169</v>
      </c>
      <c r="B2" s="1588" t="s">
        <v>1170</v>
      </c>
      <c r="C2" s="1588" t="s">
        <v>1171</v>
      </c>
      <c r="D2" s="1590" t="s">
        <v>1172</v>
      </c>
      <c r="E2" s="1592" t="s">
        <v>1157</v>
      </c>
      <c r="F2" s="1593"/>
      <c r="G2" s="1594"/>
      <c r="H2" s="1588" t="s">
        <v>234</v>
      </c>
      <c r="I2" s="1588"/>
      <c r="J2" s="1588"/>
      <c r="K2" s="1586" t="s">
        <v>1173</v>
      </c>
      <c r="L2" s="1588" t="s">
        <v>1174</v>
      </c>
      <c r="M2" s="1588"/>
      <c r="N2" s="1589" t="s">
        <v>1175</v>
      </c>
      <c r="O2" s="1589"/>
      <c r="P2" s="336"/>
      <c r="Q2" s="217"/>
      <c r="R2" s="217"/>
      <c r="T2" s="1010"/>
      <c r="U2" s="1010"/>
      <c r="V2" s="1010"/>
      <c r="W2" s="1010"/>
      <c r="X2" s="1010"/>
      <c r="Y2" s="1010"/>
      <c r="Z2" s="1010"/>
      <c r="AA2" s="1010"/>
      <c r="AB2" s="1010"/>
      <c r="AC2" s="1010"/>
    </row>
    <row r="3" spans="1:29" ht="45">
      <c r="A3" s="1588"/>
      <c r="B3" s="1588"/>
      <c r="C3" s="1588"/>
      <c r="D3" s="1591"/>
      <c r="E3" s="1011" t="s">
        <v>72</v>
      </c>
      <c r="F3" s="1012">
        <v>45474</v>
      </c>
      <c r="G3" s="1012">
        <v>45505</v>
      </c>
      <c r="H3" s="1011" t="s">
        <v>72</v>
      </c>
      <c r="I3" s="1012">
        <v>45474</v>
      </c>
      <c r="J3" s="1012">
        <v>45505</v>
      </c>
      <c r="K3" s="1587"/>
      <c r="L3" s="1012">
        <v>45474</v>
      </c>
      <c r="M3" s="1012">
        <v>45505</v>
      </c>
      <c r="N3" s="1012" t="s">
        <v>1176</v>
      </c>
      <c r="O3" s="1012" t="s">
        <v>1177</v>
      </c>
      <c r="P3" s="336"/>
      <c r="Q3" s="217"/>
      <c r="R3" s="217"/>
    </row>
    <row r="4" spans="1:29">
      <c r="A4" s="1583" t="s">
        <v>1178</v>
      </c>
      <c r="B4" s="1583" t="s">
        <v>1129</v>
      </c>
      <c r="C4" s="1013" t="s">
        <v>1179</v>
      </c>
      <c r="D4" s="1014" t="s">
        <v>1180</v>
      </c>
      <c r="E4" s="1015">
        <f>750679+G4</f>
        <v>917442</v>
      </c>
      <c r="F4" s="1015">
        <v>221258</v>
      </c>
      <c r="G4" s="1015">
        <v>166763</v>
      </c>
      <c r="H4" s="1015">
        <f>537074.50803+J4</f>
        <v>655206.9802300001</v>
      </c>
      <c r="I4" s="1015">
        <v>157303.92452999999</v>
      </c>
      <c r="J4" s="1015">
        <v>118132.47220000002</v>
      </c>
      <c r="K4" s="1016" t="s">
        <v>1181</v>
      </c>
      <c r="L4" s="1017">
        <v>69655</v>
      </c>
      <c r="M4" s="1017">
        <v>71611</v>
      </c>
      <c r="N4" s="1018">
        <v>20485.380952380954</v>
      </c>
      <c r="O4" s="1018">
        <v>14528.188880952381</v>
      </c>
      <c r="P4" s="336"/>
      <c r="Q4" s="217"/>
      <c r="R4" s="217"/>
    </row>
    <row r="5" spans="1:29">
      <c r="A5" s="1584"/>
      <c r="B5" s="1584"/>
      <c r="C5" s="1013" t="s">
        <v>1182</v>
      </c>
      <c r="D5" s="1014" t="s">
        <v>1183</v>
      </c>
      <c r="E5" s="1015">
        <f>1993972+G5</f>
        <v>2552402</v>
      </c>
      <c r="F5" s="1015">
        <v>506058</v>
      </c>
      <c r="G5" s="1015">
        <v>558430</v>
      </c>
      <c r="H5" s="1015">
        <f>142621.042953+J5</f>
        <v>182084.51715299999</v>
      </c>
      <c r="I5" s="1015">
        <v>35989.987015999999</v>
      </c>
      <c r="J5" s="1015">
        <v>39463.474200000011</v>
      </c>
      <c r="K5" s="1016" t="s">
        <v>1181</v>
      </c>
      <c r="L5" s="1017">
        <v>69375</v>
      </c>
      <c r="M5" s="1017">
        <v>71645</v>
      </c>
      <c r="N5" s="1018">
        <v>33486.142857142855</v>
      </c>
      <c r="O5" s="1018">
        <v>2363.4159202857145</v>
      </c>
      <c r="P5" s="336"/>
      <c r="Q5" s="217"/>
      <c r="R5" s="217"/>
    </row>
    <row r="6" spans="1:29">
      <c r="A6" s="1584"/>
      <c r="B6" s="1584"/>
      <c r="C6" s="1013" t="s">
        <v>1184</v>
      </c>
      <c r="D6" s="1014" t="s">
        <v>1185</v>
      </c>
      <c r="E6" s="1015">
        <f>252244+G6</f>
        <v>322792</v>
      </c>
      <c r="F6" s="1015">
        <v>64179</v>
      </c>
      <c r="G6" s="1015">
        <v>70548</v>
      </c>
      <c r="H6" s="1015">
        <f>1462.6063019+J6</f>
        <v>1865.6663019</v>
      </c>
      <c r="I6" s="1015">
        <v>370.71389550000004</v>
      </c>
      <c r="J6" s="1015">
        <v>403.05999999999995</v>
      </c>
      <c r="K6" s="1016" t="s">
        <v>1186</v>
      </c>
      <c r="L6" s="1017">
        <v>56176</v>
      </c>
      <c r="M6" s="1017">
        <v>57900</v>
      </c>
      <c r="N6" s="1018">
        <v>7098.3809523809523</v>
      </c>
      <c r="O6" s="1019">
        <v>40.489009204761906</v>
      </c>
      <c r="P6" s="336"/>
      <c r="Q6" s="217"/>
      <c r="R6" s="217"/>
    </row>
    <row r="7" spans="1:29">
      <c r="A7" s="1584"/>
      <c r="B7" s="1584"/>
      <c r="C7" s="1013" t="s">
        <v>1187</v>
      </c>
      <c r="D7" s="1014" t="s">
        <v>1188</v>
      </c>
      <c r="E7" s="1015">
        <f>3175380+G7</f>
        <v>4180680</v>
      </c>
      <c r="F7" s="1015">
        <v>809909</v>
      </c>
      <c r="G7" s="1015">
        <v>1005300</v>
      </c>
      <c r="H7" s="1015">
        <f>2250.1130028+J7</f>
        <v>2951.4131027999997</v>
      </c>
      <c r="I7" s="1015">
        <v>571.26620000000003</v>
      </c>
      <c r="J7" s="1015">
        <v>701.30009999999993</v>
      </c>
      <c r="K7" s="1016" t="s">
        <v>1189</v>
      </c>
      <c r="L7" s="1017">
        <v>6866</v>
      </c>
      <c r="M7" s="1017">
        <v>7047</v>
      </c>
      <c r="N7" s="1018">
        <v>129818.57142857143</v>
      </c>
      <c r="O7" s="1019">
        <v>90.54258402857144</v>
      </c>
      <c r="P7" s="336"/>
      <c r="Q7" s="217"/>
      <c r="R7" s="217"/>
    </row>
    <row r="8" spans="1:29">
      <c r="A8" s="1584"/>
      <c r="B8" s="1584"/>
      <c r="C8" s="1013" t="s">
        <v>1190</v>
      </c>
      <c r="D8" s="1014" t="s">
        <v>1191</v>
      </c>
      <c r="E8" s="1015">
        <f>1963205+G8</f>
        <v>2507807</v>
      </c>
      <c r="F8" s="1015">
        <v>460908</v>
      </c>
      <c r="G8" s="1015">
        <v>544602</v>
      </c>
      <c r="H8" s="1015">
        <f>515198.611068+J8</f>
        <v>651491.96326800005</v>
      </c>
      <c r="I8" s="1015">
        <v>123218.22358800001</v>
      </c>
      <c r="J8" s="1015">
        <v>136293.35220000005</v>
      </c>
      <c r="K8" s="1016" t="s">
        <v>1192</v>
      </c>
      <c r="L8" s="1017">
        <v>83596</v>
      </c>
      <c r="M8" s="1017">
        <v>85210</v>
      </c>
      <c r="N8" s="1019">
        <v>34660.428571428572</v>
      </c>
      <c r="O8" s="1019">
        <v>8677.3589734285706</v>
      </c>
      <c r="P8" s="336"/>
      <c r="Q8" s="217"/>
      <c r="R8" s="217"/>
    </row>
    <row r="9" spans="1:29">
      <c r="A9" s="1584"/>
      <c r="B9" s="1584"/>
      <c r="C9" s="1013" t="s">
        <v>1193</v>
      </c>
      <c r="D9" s="1014" t="s">
        <v>1194</v>
      </c>
      <c r="E9" s="1015">
        <f>4856107+G9</f>
        <v>6022642</v>
      </c>
      <c r="F9" s="1015">
        <v>1073916</v>
      </c>
      <c r="G9" s="1015">
        <v>1166535</v>
      </c>
      <c r="H9" s="1015">
        <f>213460.590338+J9</f>
        <v>262255.11373800004</v>
      </c>
      <c r="I9" s="1015">
        <v>48126.972896000007</v>
      </c>
      <c r="J9" s="1015">
        <v>48794.523400000027</v>
      </c>
      <c r="K9" s="1016" t="s">
        <v>1192</v>
      </c>
      <c r="L9" s="1017">
        <v>83659</v>
      </c>
      <c r="M9" s="1017">
        <v>85313</v>
      </c>
      <c r="N9" s="1019">
        <v>54844.809523809527</v>
      </c>
      <c r="O9" s="1019">
        <v>2290.1254584761909</v>
      </c>
      <c r="P9" s="336"/>
      <c r="Q9" s="217"/>
      <c r="R9" s="217"/>
    </row>
    <row r="10" spans="1:29">
      <c r="A10" s="1584"/>
      <c r="B10" s="1584"/>
      <c r="C10" s="1013" t="s">
        <v>1195</v>
      </c>
      <c r="D10" s="1014" t="s">
        <v>1196</v>
      </c>
      <c r="E10" s="1015">
        <f>16424621+G10</f>
        <v>20357434</v>
      </c>
      <c r="F10" s="1015">
        <v>3791203</v>
      </c>
      <c r="G10" s="1015">
        <v>3932813</v>
      </c>
      <c r="H10" s="1015">
        <f>144569.1376274+J10</f>
        <v>177533.0550274</v>
      </c>
      <c r="I10" s="1015">
        <v>34052.479047400004</v>
      </c>
      <c r="J10" s="1015">
        <v>32963.917400000013</v>
      </c>
      <c r="K10" s="1016" t="s">
        <v>1192</v>
      </c>
      <c r="L10" s="1017">
        <v>83634</v>
      </c>
      <c r="M10" s="1017">
        <v>85329</v>
      </c>
      <c r="N10" s="1019">
        <v>171974.80952380953</v>
      </c>
      <c r="O10" s="1019">
        <v>1442.2113742047618</v>
      </c>
      <c r="P10" s="336"/>
      <c r="Q10" s="217"/>
      <c r="R10" s="217"/>
    </row>
    <row r="11" spans="1:29">
      <c r="A11" s="1584"/>
      <c r="B11" s="1585"/>
      <c r="C11" s="1020" t="s">
        <v>1197</v>
      </c>
      <c r="D11" s="1021"/>
      <c r="E11" s="1022">
        <f t="shared" ref="E11:J11" si="0">SUM(E4:E10)</f>
        <v>36861199</v>
      </c>
      <c r="F11" s="1022">
        <f t="shared" si="0"/>
        <v>6927431</v>
      </c>
      <c r="G11" s="1022">
        <f t="shared" si="0"/>
        <v>7444991</v>
      </c>
      <c r="H11" s="1022">
        <f t="shared" si="0"/>
        <v>1933388.7088211</v>
      </c>
      <c r="I11" s="1022">
        <f t="shared" si="0"/>
        <v>399633.56717290002</v>
      </c>
      <c r="J11" s="1022">
        <f t="shared" si="0"/>
        <v>376752.09950000007</v>
      </c>
      <c r="K11" s="1023"/>
      <c r="L11" s="1023"/>
      <c r="M11" s="1023"/>
      <c r="N11" s="1024"/>
      <c r="O11" s="1024"/>
      <c r="P11" s="336"/>
      <c r="Q11" s="217"/>
      <c r="R11" s="217"/>
    </row>
    <row r="12" spans="1:29">
      <c r="A12" s="1584"/>
      <c r="B12" s="1580" t="s">
        <v>1198</v>
      </c>
      <c r="C12" s="1013" t="s">
        <v>1199</v>
      </c>
      <c r="D12" s="1025" t="s">
        <v>1200</v>
      </c>
      <c r="E12" s="1015">
        <f>211206+G12</f>
        <v>267365</v>
      </c>
      <c r="F12" s="1015">
        <v>45781</v>
      </c>
      <c r="G12" s="1015">
        <v>56159</v>
      </c>
      <c r="H12" s="1015">
        <f>24539.276625+J12</f>
        <v>30772.767724999998</v>
      </c>
      <c r="I12" s="1015">
        <v>5072.2925500000001</v>
      </c>
      <c r="J12" s="1015">
        <v>6233.4910999999984</v>
      </c>
      <c r="K12" s="1016" t="s">
        <v>1192</v>
      </c>
      <c r="L12" s="1017">
        <v>214.55</v>
      </c>
      <c r="M12" s="1017">
        <v>225.35</v>
      </c>
      <c r="N12" s="1019">
        <v>4264.6190476190477</v>
      </c>
      <c r="O12" s="1019">
        <v>469.42408809523806</v>
      </c>
      <c r="P12" s="1026"/>
      <c r="Q12" s="217"/>
      <c r="R12" s="217"/>
    </row>
    <row r="13" spans="1:29">
      <c r="A13" s="1584"/>
      <c r="B13" s="1581"/>
      <c r="C13" s="1013" t="s">
        <v>1201</v>
      </c>
      <c r="D13" s="1025" t="s">
        <v>1202</v>
      </c>
      <c r="E13" s="1015">
        <f>260674+G13</f>
        <v>325532</v>
      </c>
      <c r="F13" s="1015">
        <v>49457</v>
      </c>
      <c r="G13" s="1015">
        <v>64858</v>
      </c>
      <c r="H13" s="1015">
        <f>6088.598655+J13</f>
        <v>7528.1855549999991</v>
      </c>
      <c r="I13" s="1015">
        <v>1099.3672349999997</v>
      </c>
      <c r="J13" s="1015">
        <v>1439.5868999999993</v>
      </c>
      <c r="K13" s="1016" t="s">
        <v>1192</v>
      </c>
      <c r="L13" s="1017">
        <v>215.45</v>
      </c>
      <c r="M13" s="1017">
        <v>226.05</v>
      </c>
      <c r="N13" s="1019">
        <v>2659.3809523809523</v>
      </c>
      <c r="O13" s="1019">
        <v>58.633842619047613</v>
      </c>
      <c r="P13" s="1026"/>
      <c r="Q13" s="217"/>
      <c r="R13" s="217"/>
    </row>
    <row r="14" spans="1:29">
      <c r="A14" s="1584"/>
      <c r="B14" s="1581"/>
      <c r="C14" s="1013" t="s">
        <v>1203</v>
      </c>
      <c r="D14" s="1025" t="s">
        <v>1204</v>
      </c>
      <c r="E14" s="1015">
        <f>799095+G14</f>
        <v>1036904</v>
      </c>
      <c r="F14" s="1015">
        <v>234185</v>
      </c>
      <c r="G14" s="1015">
        <v>237809</v>
      </c>
      <c r="H14" s="1015">
        <f>170735.0658875+J14</f>
        <v>218036.98028750002</v>
      </c>
      <c r="I14" s="1015">
        <v>48822.928699999997</v>
      </c>
      <c r="J14" s="1015">
        <v>47301.914400000001</v>
      </c>
      <c r="K14" s="1016" t="s">
        <v>1192</v>
      </c>
      <c r="L14" s="1017">
        <v>807.4</v>
      </c>
      <c r="M14" s="1017">
        <v>806</v>
      </c>
      <c r="N14" s="1019">
        <v>14080.952380952382</v>
      </c>
      <c r="O14" s="1019">
        <v>2798.6409470238091</v>
      </c>
      <c r="P14" s="1026"/>
      <c r="Q14" s="217"/>
      <c r="R14" s="217"/>
    </row>
    <row r="15" spans="1:29">
      <c r="A15" s="1584"/>
      <c r="B15" s="1581"/>
      <c r="C15" s="1013" t="s">
        <v>1205</v>
      </c>
      <c r="D15" s="1025" t="s">
        <v>1200</v>
      </c>
      <c r="E15" s="1015">
        <f>62798+G15</f>
        <v>78113</v>
      </c>
      <c r="F15" s="1015">
        <v>15119</v>
      </c>
      <c r="G15" s="1015">
        <v>15315</v>
      </c>
      <c r="H15" s="1015">
        <f>5951.407475+J15</f>
        <v>7377.5602749999998</v>
      </c>
      <c r="I15" s="1015">
        <v>1422.6587</v>
      </c>
      <c r="J15" s="1015">
        <v>1426.1527999999994</v>
      </c>
      <c r="K15" s="1016" t="s">
        <v>1192</v>
      </c>
      <c r="L15" s="1017">
        <v>188.7</v>
      </c>
      <c r="M15" s="1017">
        <v>185.8</v>
      </c>
      <c r="N15" s="1019">
        <v>562.14285714285711</v>
      </c>
      <c r="O15" s="1019">
        <v>52.291989285714301</v>
      </c>
      <c r="P15" s="1026"/>
      <c r="Q15" s="217"/>
      <c r="R15" s="217"/>
    </row>
    <row r="16" spans="1:29">
      <c r="A16" s="1584"/>
      <c r="B16" s="1581"/>
      <c r="C16" s="1013" t="s">
        <v>1206</v>
      </c>
      <c r="D16" s="1025" t="s">
        <v>1202</v>
      </c>
      <c r="E16" s="1015">
        <f>62488+G16</f>
        <v>78715</v>
      </c>
      <c r="F16" s="1015">
        <v>12358</v>
      </c>
      <c r="G16" s="1015">
        <v>16227</v>
      </c>
      <c r="H16" s="1015">
        <f>1185.051105+J16</f>
        <v>1487.5505049999999</v>
      </c>
      <c r="I16" s="1015">
        <v>232.86635999999996</v>
      </c>
      <c r="J16" s="1015">
        <v>302.49939999999992</v>
      </c>
      <c r="K16" s="1016" t="s">
        <v>1192</v>
      </c>
      <c r="L16" s="1017">
        <v>188.55</v>
      </c>
      <c r="M16" s="1017">
        <v>186.2</v>
      </c>
      <c r="N16" s="1019">
        <v>426.14285714285717</v>
      </c>
      <c r="O16" s="1019">
        <v>7.9481228571428577</v>
      </c>
      <c r="P16" s="1026"/>
      <c r="Q16" s="217"/>
      <c r="R16" s="217"/>
    </row>
    <row r="17" spans="1:18">
      <c r="A17" s="1584"/>
      <c r="B17" s="1581"/>
      <c r="C17" s="1013" t="s">
        <v>1207</v>
      </c>
      <c r="D17" s="1025" t="s">
        <v>1208</v>
      </c>
      <c r="E17" s="1015">
        <f>0+G17</f>
        <v>0</v>
      </c>
      <c r="F17" s="1027">
        <v>0</v>
      </c>
      <c r="G17" s="1027">
        <v>0</v>
      </c>
      <c r="H17" s="1015">
        <f>0+J17</f>
        <v>0</v>
      </c>
      <c r="I17" s="1027">
        <v>0</v>
      </c>
      <c r="J17" s="1027">
        <v>0</v>
      </c>
      <c r="K17" s="1016" t="s">
        <v>1192</v>
      </c>
      <c r="L17" s="1017">
        <v>1380.3</v>
      </c>
      <c r="M17" s="1017">
        <v>1431.3</v>
      </c>
      <c r="N17" s="1019">
        <v>0</v>
      </c>
      <c r="O17" s="1019">
        <v>0</v>
      </c>
      <c r="P17" s="1026"/>
      <c r="Q17" s="217"/>
      <c r="R17" s="217"/>
    </row>
    <row r="18" spans="1:18">
      <c r="A18" s="1584"/>
      <c r="B18" s="1581"/>
      <c r="C18" s="1013" t="s">
        <v>1209</v>
      </c>
      <c r="D18" s="1025" t="s">
        <v>1200</v>
      </c>
      <c r="E18" s="1015">
        <f>0+G18</f>
        <v>0</v>
      </c>
      <c r="F18" s="1027">
        <v>0</v>
      </c>
      <c r="G18" s="1027">
        <v>0</v>
      </c>
      <c r="H18" s="1015">
        <f>0+J18</f>
        <v>0</v>
      </c>
      <c r="I18" s="1027">
        <v>0</v>
      </c>
      <c r="J18" s="1028">
        <v>0</v>
      </c>
      <c r="K18" s="1016" t="s">
        <v>1210</v>
      </c>
      <c r="L18" s="1017">
        <v>60670</v>
      </c>
      <c r="M18" s="1017">
        <v>63500</v>
      </c>
      <c r="N18" s="1019">
        <v>0</v>
      </c>
      <c r="O18" s="1029">
        <v>0</v>
      </c>
      <c r="P18" s="1026"/>
      <c r="Q18" s="217"/>
      <c r="R18" s="217"/>
    </row>
    <row r="19" spans="1:18">
      <c r="A19" s="1584"/>
      <c r="B19" s="1581"/>
      <c r="C19" s="1013" t="s">
        <v>1211</v>
      </c>
      <c r="D19" s="1025" t="s">
        <v>1200</v>
      </c>
      <c r="E19" s="1015">
        <f>418948+G19</f>
        <v>505488</v>
      </c>
      <c r="F19" s="1015">
        <v>81684</v>
      </c>
      <c r="G19" s="1015">
        <v>86540</v>
      </c>
      <c r="H19" s="1015">
        <f>53948.846775+J19</f>
        <v>65160.933174999998</v>
      </c>
      <c r="I19" s="1015">
        <v>10819.19795</v>
      </c>
      <c r="J19" s="1015">
        <v>11212.086399999998</v>
      </c>
      <c r="K19" s="1016" t="s">
        <v>1192</v>
      </c>
      <c r="L19" s="1017">
        <v>254.15</v>
      </c>
      <c r="M19" s="1017">
        <v>268.7</v>
      </c>
      <c r="N19" s="1019">
        <v>2480.1904761904761</v>
      </c>
      <c r="O19" s="1019">
        <v>322.32824642857145</v>
      </c>
      <c r="P19" s="1030"/>
      <c r="Q19" s="217"/>
      <c r="R19" s="217"/>
    </row>
    <row r="20" spans="1:18">
      <c r="A20" s="1584"/>
      <c r="B20" s="1581"/>
      <c r="C20" s="1013" t="s">
        <v>1212</v>
      </c>
      <c r="D20" s="1025" t="s">
        <v>1202</v>
      </c>
      <c r="E20" s="1015">
        <f>599978+G20</f>
        <v>718758</v>
      </c>
      <c r="F20" s="1015">
        <v>116094</v>
      </c>
      <c r="G20" s="1015">
        <v>118780</v>
      </c>
      <c r="H20" s="1015">
        <f>15447.632365+J20</f>
        <v>18522.635565</v>
      </c>
      <c r="I20" s="1015">
        <v>3072.7726950000001</v>
      </c>
      <c r="J20" s="1015">
        <v>3075.0032000000006</v>
      </c>
      <c r="K20" s="1016" t="s">
        <v>1192</v>
      </c>
      <c r="L20" s="1017">
        <v>254.15</v>
      </c>
      <c r="M20" s="1017">
        <v>268.55</v>
      </c>
      <c r="N20" s="1019">
        <v>2401.4285714285716</v>
      </c>
      <c r="O20" s="1019">
        <v>62.307184285714278</v>
      </c>
      <c r="P20" s="1026"/>
      <c r="Q20" s="217"/>
      <c r="R20" s="217"/>
    </row>
    <row r="21" spans="1:18">
      <c r="A21" s="1584"/>
      <c r="B21" s="1582"/>
      <c r="C21" s="1020" t="s">
        <v>1213</v>
      </c>
      <c r="D21" s="1031"/>
      <c r="E21" s="1022">
        <f t="shared" ref="E21:J21" si="1">SUM(E12:E20)</f>
        <v>3010875</v>
      </c>
      <c r="F21" s="1022">
        <f t="shared" si="1"/>
        <v>554678</v>
      </c>
      <c r="G21" s="1022">
        <f t="shared" si="1"/>
        <v>595688</v>
      </c>
      <c r="H21" s="1022">
        <f t="shared" si="1"/>
        <v>348886.61308750004</v>
      </c>
      <c r="I21" s="1022">
        <f t="shared" si="1"/>
        <v>70542.084190000009</v>
      </c>
      <c r="J21" s="1022">
        <f t="shared" si="1"/>
        <v>70990.734200000006</v>
      </c>
      <c r="K21" s="1032"/>
      <c r="L21" s="1023"/>
      <c r="M21" s="1023"/>
      <c r="N21" s="1024"/>
      <c r="O21" s="1024"/>
      <c r="P21" s="14"/>
      <c r="Q21" s="217"/>
      <c r="R21" s="217"/>
    </row>
    <row r="22" spans="1:18" ht="45">
      <c r="A22" s="1584"/>
      <c r="B22" s="1581" t="s">
        <v>1214</v>
      </c>
      <c r="C22" s="1013" t="s">
        <v>1215</v>
      </c>
      <c r="D22" s="1033" t="s">
        <v>1216</v>
      </c>
      <c r="E22" s="1015">
        <f>2942+G22</f>
        <v>3034</v>
      </c>
      <c r="F22" s="1015">
        <v>756</v>
      </c>
      <c r="G22" s="1015">
        <v>92</v>
      </c>
      <c r="H22" s="1015">
        <f>810.750852+J22</f>
        <v>833.91375200000004</v>
      </c>
      <c r="I22" s="1015">
        <v>203.61205200000006</v>
      </c>
      <c r="J22" s="1015">
        <v>23.162900000000004</v>
      </c>
      <c r="K22" s="1016" t="s">
        <v>1217</v>
      </c>
      <c r="L22" s="1017">
        <v>56860</v>
      </c>
      <c r="M22" s="1017">
        <v>58000</v>
      </c>
      <c r="N22" s="1034">
        <v>175.8095238095238</v>
      </c>
      <c r="O22" s="1034">
        <v>47.527708571428583</v>
      </c>
      <c r="P22" s="336"/>
    </row>
    <row r="23" spans="1:18">
      <c r="A23" s="1584"/>
      <c r="B23" s="1581"/>
      <c r="C23" s="1013" t="s">
        <v>1218</v>
      </c>
      <c r="D23" s="1014" t="s">
        <v>1219</v>
      </c>
      <c r="E23" s="1015">
        <f>19193+G23</f>
        <v>25894</v>
      </c>
      <c r="F23" s="1015">
        <v>8188</v>
      </c>
      <c r="G23" s="1015">
        <v>6701</v>
      </c>
      <c r="H23" s="1015">
        <f>648.2075328+J23</f>
        <v>886.60383279999996</v>
      </c>
      <c r="I23" s="1015">
        <v>283.44115440000002</v>
      </c>
      <c r="J23" s="1015">
        <v>238.39629999999997</v>
      </c>
      <c r="K23" s="1016" t="s">
        <v>1192</v>
      </c>
      <c r="L23" s="1017">
        <v>976.3</v>
      </c>
      <c r="M23" s="1017">
        <v>982.8</v>
      </c>
      <c r="N23" s="1019">
        <v>966.76190476190482</v>
      </c>
      <c r="O23" s="1019">
        <v>34.272425999999996</v>
      </c>
      <c r="P23" s="336"/>
    </row>
    <row r="24" spans="1:18">
      <c r="A24" s="1584"/>
      <c r="B24" s="1581"/>
      <c r="C24" s="1013" t="s">
        <v>1220</v>
      </c>
      <c r="D24" s="1014" t="s">
        <v>1221</v>
      </c>
      <c r="E24" s="1015">
        <f>0+G24</f>
        <v>0</v>
      </c>
      <c r="F24" s="1015">
        <v>0</v>
      </c>
      <c r="G24" s="1015">
        <v>0</v>
      </c>
      <c r="H24" s="1015">
        <f>0+J24</f>
        <v>0</v>
      </c>
      <c r="I24" s="1035">
        <v>0</v>
      </c>
      <c r="J24" s="1035">
        <v>0</v>
      </c>
      <c r="K24" s="1016" t="s">
        <v>1222</v>
      </c>
      <c r="L24" s="1017">
        <v>1440</v>
      </c>
      <c r="M24" s="1017">
        <v>1440</v>
      </c>
      <c r="N24" s="1029">
        <v>0</v>
      </c>
      <c r="O24" s="1029">
        <v>0</v>
      </c>
      <c r="P24" s="336"/>
    </row>
    <row r="25" spans="1:18">
      <c r="A25" s="1584"/>
      <c r="B25" s="1581"/>
      <c r="C25" s="1020" t="s">
        <v>1223</v>
      </c>
      <c r="D25" s="1031"/>
      <c r="E25" s="1022">
        <f t="shared" ref="E25:J25" si="2">SUM(E22:E24)</f>
        <v>28928</v>
      </c>
      <c r="F25" s="1022">
        <f t="shared" si="2"/>
        <v>8944</v>
      </c>
      <c r="G25" s="1022">
        <f t="shared" si="2"/>
        <v>6793</v>
      </c>
      <c r="H25" s="1022">
        <f t="shared" si="2"/>
        <v>1720.5175847999999</v>
      </c>
      <c r="I25" s="1022">
        <f t="shared" si="2"/>
        <v>487.05320640000008</v>
      </c>
      <c r="J25" s="1022">
        <f t="shared" si="2"/>
        <v>261.55919999999998</v>
      </c>
      <c r="K25" s="1032"/>
      <c r="L25" s="1023"/>
      <c r="M25" s="1023"/>
      <c r="N25" s="1024"/>
      <c r="O25" s="1024"/>
      <c r="P25" s="336"/>
    </row>
    <row r="26" spans="1:18">
      <c r="A26" s="1584"/>
      <c r="B26" s="1580" t="s">
        <v>650</v>
      </c>
      <c r="C26" s="1013" t="s">
        <v>1224</v>
      </c>
      <c r="D26" s="1025" t="s">
        <v>1225</v>
      </c>
      <c r="E26" s="1015">
        <f>1760950+G26</f>
        <v>2417955</v>
      </c>
      <c r="F26" s="1015">
        <v>489524</v>
      </c>
      <c r="G26" s="1015">
        <v>657005</v>
      </c>
      <c r="H26" s="1015">
        <f>118385.00345+J26</f>
        <v>159995.31315</v>
      </c>
      <c r="I26" s="1015">
        <v>32929.234000000004</v>
      </c>
      <c r="J26" s="1015">
        <v>41610.309699999998</v>
      </c>
      <c r="K26" s="1016" t="s">
        <v>1226</v>
      </c>
      <c r="L26" s="1017">
        <v>6524</v>
      </c>
      <c r="M26" s="1017">
        <v>6203</v>
      </c>
      <c r="N26" s="1019">
        <v>11660</v>
      </c>
      <c r="O26" s="1019">
        <v>734.44781095238091</v>
      </c>
      <c r="P26" s="336"/>
      <c r="Q26" s="217"/>
      <c r="R26" s="217"/>
    </row>
    <row r="27" spans="1:18">
      <c r="A27" s="1584"/>
      <c r="B27" s="1581"/>
      <c r="C27" s="1013" t="s">
        <v>1227</v>
      </c>
      <c r="D27" s="1025" t="s">
        <v>1228</v>
      </c>
      <c r="E27" s="1015">
        <f>1918481+G27</f>
        <v>2659592</v>
      </c>
      <c r="F27" s="1015">
        <v>507168</v>
      </c>
      <c r="G27" s="1015">
        <v>741111</v>
      </c>
      <c r="H27" s="1015">
        <f>12872.403822+J27</f>
        <v>17549.778621999998</v>
      </c>
      <c r="I27" s="1015">
        <v>3398.2502890000001</v>
      </c>
      <c r="J27" s="1015">
        <v>4677.3747999999987</v>
      </c>
      <c r="K27" s="1016" t="s">
        <v>1226</v>
      </c>
      <c r="L27" s="1017">
        <v>6521</v>
      </c>
      <c r="M27" s="1017">
        <v>6207</v>
      </c>
      <c r="N27" s="1019">
        <v>12459.047619047618</v>
      </c>
      <c r="O27" s="1019">
        <v>78.0237502857143</v>
      </c>
      <c r="P27" s="336"/>
      <c r="Q27" s="217"/>
      <c r="R27" s="217"/>
    </row>
    <row r="28" spans="1:18">
      <c r="A28" s="1584"/>
      <c r="B28" s="1581"/>
      <c r="C28" s="1013" t="s">
        <v>1229</v>
      </c>
      <c r="D28" s="1025" t="s">
        <v>1230</v>
      </c>
      <c r="E28" s="1015">
        <f>10690315+G28</f>
        <v>13742104</v>
      </c>
      <c r="F28" s="1015">
        <v>2425416</v>
      </c>
      <c r="G28" s="1015">
        <v>3051789</v>
      </c>
      <c r="H28" s="1015">
        <f>263522.341675+J28</f>
        <v>332047.45177499996</v>
      </c>
      <c r="I28" s="1015">
        <v>56769.623449999999</v>
      </c>
      <c r="J28" s="1015">
        <v>68525.110099999991</v>
      </c>
      <c r="K28" s="1016" t="s">
        <v>1231</v>
      </c>
      <c r="L28" s="1017">
        <v>172.5</v>
      </c>
      <c r="M28" s="1017">
        <v>179</v>
      </c>
      <c r="N28" s="1019">
        <v>52867.333333333336</v>
      </c>
      <c r="O28" s="1019">
        <v>1191.6452357142855</v>
      </c>
      <c r="P28" s="336"/>
      <c r="Q28" s="217"/>
      <c r="R28" s="217"/>
    </row>
    <row r="29" spans="1:18">
      <c r="A29" s="1584"/>
      <c r="B29" s="1581"/>
      <c r="C29" s="1013" t="s">
        <v>1232</v>
      </c>
      <c r="D29" s="1025" t="s">
        <v>1233</v>
      </c>
      <c r="E29" s="1015">
        <f>5374993+G29</f>
        <v>7060289</v>
      </c>
      <c r="F29" s="1015">
        <v>1360379</v>
      </c>
      <c r="G29" s="1015">
        <v>1685296</v>
      </c>
      <c r="H29" s="1015">
        <f>26950.3596575+J29</f>
        <v>34547.091357500001</v>
      </c>
      <c r="I29" s="1015">
        <v>6404.7059524999995</v>
      </c>
      <c r="J29" s="1015">
        <v>7596.7316999999966</v>
      </c>
      <c r="K29" s="1016" t="s">
        <v>1231</v>
      </c>
      <c r="L29" s="1017">
        <v>172.6</v>
      </c>
      <c r="M29" s="1017">
        <v>179.1</v>
      </c>
      <c r="N29" s="1019">
        <v>35176.761904761908</v>
      </c>
      <c r="O29" s="1019">
        <v>158.69607178571431</v>
      </c>
      <c r="P29" s="336"/>
      <c r="Q29" s="217"/>
      <c r="R29" s="217"/>
    </row>
    <row r="30" spans="1:18">
      <c r="A30" s="1584"/>
      <c r="B30" s="1582"/>
      <c r="C30" s="1020" t="s">
        <v>1234</v>
      </c>
      <c r="D30" s="1031"/>
      <c r="E30" s="1022">
        <f t="shared" ref="E30:J30" si="3">SUM(E26:E29)</f>
        <v>25879940</v>
      </c>
      <c r="F30" s="1022">
        <f t="shared" si="3"/>
        <v>4782487</v>
      </c>
      <c r="G30" s="1022">
        <f t="shared" si="3"/>
        <v>6135201</v>
      </c>
      <c r="H30" s="1022">
        <f t="shared" si="3"/>
        <v>544139.63490449998</v>
      </c>
      <c r="I30" s="1022">
        <f t="shared" si="3"/>
        <v>99501.813691499992</v>
      </c>
      <c r="J30" s="1022">
        <f t="shared" si="3"/>
        <v>122409.5263</v>
      </c>
      <c r="K30" s="1032"/>
      <c r="L30" s="1023"/>
      <c r="M30" s="1023"/>
      <c r="N30" s="1024"/>
      <c r="O30" s="1024"/>
      <c r="P30" s="336"/>
      <c r="Q30" s="217"/>
      <c r="R30" s="217"/>
    </row>
    <row r="31" spans="1:18">
      <c r="A31" s="1584"/>
      <c r="B31" s="1580" t="s">
        <v>503</v>
      </c>
      <c r="C31" s="1013" t="s">
        <v>1235</v>
      </c>
      <c r="D31" s="1014">
        <v>50</v>
      </c>
      <c r="E31" s="1015">
        <f>19404+G31</f>
        <v>21263</v>
      </c>
      <c r="F31" s="1015">
        <v>3294</v>
      </c>
      <c r="G31" s="1015">
        <v>1859</v>
      </c>
      <c r="H31" s="1015">
        <f>1778.59409+J31</f>
        <v>1943.28199</v>
      </c>
      <c r="I31" s="1015">
        <v>301.01428500000003</v>
      </c>
      <c r="J31" s="1015">
        <v>164.68789999999998</v>
      </c>
      <c r="K31" s="1016" t="s">
        <v>1236</v>
      </c>
      <c r="L31" s="1017">
        <v>17588</v>
      </c>
      <c r="M31" s="1017">
        <v>17900</v>
      </c>
      <c r="N31" s="1019">
        <v>103.47619047619048</v>
      </c>
      <c r="O31" s="1019">
        <v>9.1540664285714275</v>
      </c>
      <c r="P31" s="336"/>
      <c r="Q31" s="217"/>
      <c r="R31" s="217"/>
    </row>
    <row r="32" spans="1:18">
      <c r="A32" s="1584"/>
      <c r="B32" s="1581"/>
      <c r="C32" s="1013" t="s">
        <v>1237</v>
      </c>
      <c r="D32" s="1014">
        <v>50</v>
      </c>
      <c r="E32" s="1015">
        <f>0+G32</f>
        <v>0</v>
      </c>
      <c r="F32" s="1036">
        <v>0</v>
      </c>
      <c r="G32" s="1036">
        <v>0</v>
      </c>
      <c r="H32" s="1015">
        <f>0+J32</f>
        <v>0</v>
      </c>
      <c r="I32" s="1036">
        <v>0</v>
      </c>
      <c r="J32" s="1036">
        <v>0</v>
      </c>
      <c r="K32" s="1016" t="s">
        <v>1236</v>
      </c>
      <c r="L32" s="1017">
        <v>16779</v>
      </c>
      <c r="M32" s="1017">
        <v>17203</v>
      </c>
      <c r="N32" s="1019">
        <v>0</v>
      </c>
      <c r="O32" s="1019">
        <v>0</v>
      </c>
      <c r="P32" s="336"/>
      <c r="Q32" s="217"/>
      <c r="R32" s="217"/>
    </row>
    <row r="33" spans="1:18">
      <c r="A33" s="1584"/>
      <c r="B33" s="1582"/>
      <c r="C33" s="1020" t="s">
        <v>1238</v>
      </c>
      <c r="D33" s="1021"/>
      <c r="E33" s="1022">
        <f t="shared" ref="E33:J33" si="4">SUM(E31:E32)</f>
        <v>21263</v>
      </c>
      <c r="F33" s="1022">
        <f t="shared" si="4"/>
        <v>3294</v>
      </c>
      <c r="G33" s="1022">
        <f t="shared" si="4"/>
        <v>1859</v>
      </c>
      <c r="H33" s="1022">
        <f t="shared" si="4"/>
        <v>1943.28199</v>
      </c>
      <c r="I33" s="1022">
        <f t="shared" si="4"/>
        <v>301.01428500000003</v>
      </c>
      <c r="J33" s="1022">
        <f t="shared" si="4"/>
        <v>164.68789999999998</v>
      </c>
      <c r="K33" s="1032"/>
      <c r="L33" s="1023"/>
      <c r="M33" s="1023"/>
      <c r="N33" s="1024"/>
      <c r="O33" s="1024"/>
      <c r="P33" s="336"/>
      <c r="Q33" s="217"/>
      <c r="R33" s="217"/>
    </row>
    <row r="34" spans="1:18" ht="30">
      <c r="A34" s="1585"/>
      <c r="B34" s="1037" t="s">
        <v>1239</v>
      </c>
      <c r="C34" s="1037" t="s">
        <v>1239</v>
      </c>
      <c r="D34" s="1038"/>
      <c r="E34" s="1039">
        <f t="shared" ref="E34:J34" si="5">SUM(E11,E21,E25,E30,E33)</f>
        <v>65802205</v>
      </c>
      <c r="F34" s="1039">
        <f t="shared" si="5"/>
        <v>12276834</v>
      </c>
      <c r="G34" s="1039">
        <f t="shared" si="5"/>
        <v>14184532</v>
      </c>
      <c r="H34" s="1039">
        <f t="shared" si="5"/>
        <v>2830078.7563879001</v>
      </c>
      <c r="I34" s="1039">
        <f t="shared" si="5"/>
        <v>570465.53254580009</v>
      </c>
      <c r="J34" s="1039">
        <f t="shared" si="5"/>
        <v>570578.60710000014</v>
      </c>
      <c r="K34" s="1040"/>
      <c r="L34" s="1023"/>
      <c r="M34" s="1023"/>
      <c r="N34" s="1024"/>
      <c r="O34" s="1024"/>
      <c r="P34" s="336"/>
      <c r="Q34" s="217"/>
      <c r="R34" s="217"/>
    </row>
    <row r="35" spans="1:18">
      <c r="A35" s="1580" t="s">
        <v>1240</v>
      </c>
      <c r="B35" s="1583" t="s">
        <v>1129</v>
      </c>
      <c r="C35" s="1013" t="s">
        <v>1179</v>
      </c>
      <c r="D35" s="1014" t="s">
        <v>1180</v>
      </c>
      <c r="E35" s="1015">
        <f>1466013+G35</f>
        <v>1663945</v>
      </c>
      <c r="F35" s="1015">
        <v>558215</v>
      </c>
      <c r="G35" s="1015">
        <v>197932</v>
      </c>
      <c r="H35" s="1015">
        <f>1057612.50257+J35</f>
        <v>1198979.5647700001</v>
      </c>
      <c r="I35" s="1015">
        <v>402335.77149499999</v>
      </c>
      <c r="J35" s="1015">
        <v>141367.06220000004</v>
      </c>
      <c r="K35" s="1016" t="s">
        <v>1181</v>
      </c>
      <c r="L35" s="1041"/>
      <c r="M35" s="1041"/>
      <c r="N35" s="1018">
        <v>8634.6666666666661</v>
      </c>
      <c r="O35" s="1019">
        <v>6143.1017678571416</v>
      </c>
      <c r="P35" s="336"/>
      <c r="Q35" s="217"/>
      <c r="R35" s="217"/>
    </row>
    <row r="36" spans="1:18">
      <c r="A36" s="1581"/>
      <c r="B36" s="1584"/>
      <c r="C36" s="1013" t="s">
        <v>1182</v>
      </c>
      <c r="D36" s="1014" t="s">
        <v>1183</v>
      </c>
      <c r="E36" s="1015">
        <f>3552115+G36</f>
        <v>4826217</v>
      </c>
      <c r="F36" s="1015">
        <v>1035211</v>
      </c>
      <c r="G36" s="1015">
        <v>1274102</v>
      </c>
      <c r="H36" s="1015">
        <f>256209.3859475+J36</f>
        <v>347139.42174749984</v>
      </c>
      <c r="I36" s="1015">
        <v>74567.746954500006</v>
      </c>
      <c r="J36" s="1015">
        <v>90930.035799999867</v>
      </c>
      <c r="K36" s="1016" t="s">
        <v>1181</v>
      </c>
      <c r="L36" s="1041"/>
      <c r="M36" s="1041"/>
      <c r="N36" s="1018">
        <v>20678.380952380954</v>
      </c>
      <c r="O36" s="1019">
        <v>1472.2545952857147</v>
      </c>
      <c r="P36" s="867"/>
      <c r="Q36" s="217"/>
      <c r="R36" s="217"/>
    </row>
    <row r="37" spans="1:18">
      <c r="A37" s="1581"/>
      <c r="B37" s="1584"/>
      <c r="C37" s="1013" t="s">
        <v>1190</v>
      </c>
      <c r="D37" s="1014" t="s">
        <v>1191</v>
      </c>
      <c r="E37" s="1015">
        <f>2270279+G37</f>
        <v>3241028</v>
      </c>
      <c r="F37" s="1015">
        <v>257150</v>
      </c>
      <c r="G37" s="1015">
        <v>970749</v>
      </c>
      <c r="H37" s="1015">
        <f>593470.887579+J37</f>
        <v>841284.0341789996</v>
      </c>
      <c r="I37" s="1015">
        <v>70043.044954500001</v>
      </c>
      <c r="J37" s="1015">
        <v>247813.14659999963</v>
      </c>
      <c r="K37" s="1016" t="s">
        <v>1192</v>
      </c>
      <c r="L37" s="1041"/>
      <c r="M37" s="1041"/>
      <c r="N37" s="1018">
        <v>20611.809523809523</v>
      </c>
      <c r="O37" s="1019">
        <v>5480.4499046428582</v>
      </c>
      <c r="P37" s="336"/>
      <c r="Q37" s="217"/>
      <c r="R37" s="217"/>
    </row>
    <row r="38" spans="1:18">
      <c r="A38" s="1581"/>
      <c r="B38" s="1584"/>
      <c r="C38" s="1013" t="s">
        <v>1193</v>
      </c>
      <c r="D38" s="1014" t="s">
        <v>1194</v>
      </c>
      <c r="E38" s="1015">
        <f>2244581+G38</f>
        <v>3409277</v>
      </c>
      <c r="F38" s="1015">
        <v>400057</v>
      </c>
      <c r="G38" s="1015">
        <v>1164696</v>
      </c>
      <c r="H38" s="1015">
        <f>99999.124269+J38</f>
        <v>149196.51676899995</v>
      </c>
      <c r="I38" s="1015">
        <v>18319.700601999997</v>
      </c>
      <c r="J38" s="1015">
        <v>49197.392499999936</v>
      </c>
      <c r="K38" s="1016" t="s">
        <v>1192</v>
      </c>
      <c r="L38" s="1041"/>
      <c r="M38" s="1041"/>
      <c r="N38" s="1018">
        <v>21262.809523809523</v>
      </c>
      <c r="O38" s="1019">
        <v>941.74529416666644</v>
      </c>
      <c r="P38" s="336"/>
      <c r="Q38" s="217"/>
      <c r="R38" s="217"/>
    </row>
    <row r="39" spans="1:18">
      <c r="A39" s="1581"/>
      <c r="B39" s="1585"/>
      <c r="C39" s="1020" t="s">
        <v>1197</v>
      </c>
      <c r="D39" s="1031"/>
      <c r="E39" s="1022">
        <f t="shared" ref="E39:J39" si="6">SUM(E35:E38)</f>
        <v>13140467</v>
      </c>
      <c r="F39" s="1022">
        <f t="shared" si="6"/>
        <v>2250633</v>
      </c>
      <c r="G39" s="1022">
        <f t="shared" si="6"/>
        <v>3607479</v>
      </c>
      <c r="H39" s="1022">
        <f t="shared" si="6"/>
        <v>2536599.5374654992</v>
      </c>
      <c r="I39" s="1022">
        <f t="shared" si="6"/>
        <v>565266.26400600001</v>
      </c>
      <c r="J39" s="1022">
        <f t="shared" si="6"/>
        <v>529307.63709999947</v>
      </c>
      <c r="K39" s="1032"/>
      <c r="L39" s="1023"/>
      <c r="M39" s="1023"/>
      <c r="N39" s="1024"/>
      <c r="O39" s="1024"/>
      <c r="P39" s="336"/>
      <c r="Q39" s="217"/>
      <c r="R39" s="217"/>
    </row>
    <row r="40" spans="1:18">
      <c r="A40" s="1581"/>
      <c r="B40" s="1580" t="s">
        <v>1198</v>
      </c>
      <c r="C40" s="1042" t="s">
        <v>1203</v>
      </c>
      <c r="D40" s="1025" t="s">
        <v>1204</v>
      </c>
      <c r="E40" s="1015">
        <f>34708+G40</f>
        <v>55096</v>
      </c>
      <c r="F40" s="1015">
        <v>12446</v>
      </c>
      <c r="G40" s="1015">
        <v>20388</v>
      </c>
      <c r="H40" s="1015">
        <f>7534.9533525+J40</f>
        <v>11651.316352500002</v>
      </c>
      <c r="I40" s="1015">
        <v>2658.3407724999997</v>
      </c>
      <c r="J40" s="1015">
        <v>4116.363000000003</v>
      </c>
      <c r="K40" s="1016" t="s">
        <v>1192</v>
      </c>
      <c r="L40" s="1043"/>
      <c r="M40" s="1043"/>
      <c r="N40" s="1018">
        <v>958.38095238095241</v>
      </c>
      <c r="O40" s="1019">
        <v>195.36479797619046</v>
      </c>
      <c r="P40" s="336"/>
      <c r="Q40" s="217"/>
      <c r="R40" s="217"/>
    </row>
    <row r="41" spans="1:18">
      <c r="A41" s="1581"/>
      <c r="B41" s="1581"/>
      <c r="C41" s="1013" t="s">
        <v>1207</v>
      </c>
      <c r="D41" s="1025" t="s">
        <v>1208</v>
      </c>
      <c r="E41" s="1015">
        <f>0+G41</f>
        <v>0</v>
      </c>
      <c r="F41" s="1036">
        <v>0</v>
      </c>
      <c r="G41" s="1036">
        <v>0</v>
      </c>
      <c r="H41" s="1015">
        <f>0+J41</f>
        <v>0</v>
      </c>
      <c r="I41" s="1036">
        <v>0</v>
      </c>
      <c r="J41" s="1036">
        <v>0</v>
      </c>
      <c r="K41" s="1016" t="s">
        <v>1192</v>
      </c>
      <c r="L41" s="1043"/>
      <c r="M41" s="1043"/>
      <c r="N41" s="1019">
        <v>0</v>
      </c>
      <c r="O41" s="1019">
        <v>0</v>
      </c>
      <c r="P41" s="336"/>
      <c r="Q41" s="217"/>
      <c r="R41" s="217"/>
    </row>
    <row r="42" spans="1:18">
      <c r="A42" s="1581"/>
      <c r="B42" s="1581"/>
      <c r="C42" s="1042" t="s">
        <v>1211</v>
      </c>
      <c r="D42" s="1025" t="s">
        <v>1200</v>
      </c>
      <c r="E42" s="1015">
        <f>3083+G42</f>
        <v>3988</v>
      </c>
      <c r="F42" s="1015">
        <v>403</v>
      </c>
      <c r="G42" s="1015">
        <v>905</v>
      </c>
      <c r="H42" s="1015">
        <f>394.8994+J42</f>
        <v>513.1585</v>
      </c>
      <c r="I42" s="1015">
        <v>53.956044999999996</v>
      </c>
      <c r="J42" s="1015">
        <v>118.25909999999998</v>
      </c>
      <c r="K42" s="1016" t="s">
        <v>1192</v>
      </c>
      <c r="L42" s="1043"/>
      <c r="M42" s="1043"/>
      <c r="N42" s="1019">
        <v>68.714285714285708</v>
      </c>
      <c r="O42" s="1019">
        <v>9.0334866666666667</v>
      </c>
      <c r="P42" s="336"/>
      <c r="Q42" s="217"/>
      <c r="R42" s="217"/>
    </row>
    <row r="43" spans="1:18">
      <c r="A43" s="1581"/>
      <c r="B43" s="1582"/>
      <c r="C43" s="1020" t="s">
        <v>1213</v>
      </c>
      <c r="D43" s="1031"/>
      <c r="E43" s="1022">
        <f t="shared" ref="E43:J43" si="7">SUM(E40:E42)</f>
        <v>59084</v>
      </c>
      <c r="F43" s="1022">
        <f t="shared" si="7"/>
        <v>12849</v>
      </c>
      <c r="G43" s="1022">
        <f t="shared" si="7"/>
        <v>21293</v>
      </c>
      <c r="H43" s="1022">
        <f t="shared" si="7"/>
        <v>12164.474852500001</v>
      </c>
      <c r="I43" s="1022">
        <f t="shared" si="7"/>
        <v>2712.2968174999996</v>
      </c>
      <c r="J43" s="1022">
        <f t="shared" si="7"/>
        <v>4234.6221000000032</v>
      </c>
      <c r="K43" s="1032"/>
      <c r="L43" s="1023"/>
      <c r="M43" s="1023"/>
      <c r="N43" s="1024"/>
      <c r="O43" s="1024"/>
      <c r="P43" s="336"/>
      <c r="Q43" s="217"/>
      <c r="R43" s="217"/>
    </row>
    <row r="44" spans="1:18">
      <c r="A44" s="1581"/>
      <c r="B44" s="1580" t="s">
        <v>650</v>
      </c>
      <c r="C44" s="1042" t="s">
        <v>1224</v>
      </c>
      <c r="D44" s="1025" t="s">
        <v>1225</v>
      </c>
      <c r="E44" s="1015">
        <f>145548657+G44</f>
        <v>192525441</v>
      </c>
      <c r="F44" s="1015">
        <v>44018215</v>
      </c>
      <c r="G44" s="1015">
        <v>46976784</v>
      </c>
      <c r="H44" s="1015">
        <f>9923793.574562+J44</f>
        <v>12966845.014461994</v>
      </c>
      <c r="I44" s="1015">
        <v>3015457.3232259993</v>
      </c>
      <c r="J44" s="1015">
        <v>3043051.4398999941</v>
      </c>
      <c r="K44" s="1016" t="s">
        <v>1226</v>
      </c>
      <c r="L44" s="1043"/>
      <c r="M44" s="1043"/>
      <c r="N44" s="1018">
        <v>171930.80952380953</v>
      </c>
      <c r="O44" s="1019">
        <v>11232.600765857143</v>
      </c>
      <c r="P44" s="336"/>
      <c r="Q44" s="217"/>
      <c r="R44" s="217"/>
    </row>
    <row r="45" spans="1:18">
      <c r="A45" s="1581"/>
      <c r="B45" s="1581"/>
      <c r="C45" s="1042" t="s">
        <v>1227</v>
      </c>
      <c r="D45" s="1025" t="s">
        <v>1228</v>
      </c>
      <c r="E45" s="1015">
        <f>2701511+G45</f>
        <v>5261691</v>
      </c>
      <c r="F45" s="1015">
        <v>1638381</v>
      </c>
      <c r="G45" s="1015">
        <v>2560180</v>
      </c>
      <c r="H45" s="1015">
        <f>18333.4755676+J45</f>
        <v>35084.865767600008</v>
      </c>
      <c r="I45" s="1015">
        <v>11237.422345249999</v>
      </c>
      <c r="J45" s="1015">
        <v>16751.390200000009</v>
      </c>
      <c r="K45" s="1016" t="s">
        <v>1226</v>
      </c>
      <c r="L45" s="1043"/>
      <c r="M45" s="1043"/>
      <c r="N45" s="1018">
        <v>16420.476190476191</v>
      </c>
      <c r="O45" s="1019">
        <v>107.31149882142856</v>
      </c>
      <c r="P45" s="336"/>
      <c r="Q45" s="217"/>
      <c r="R45" s="217"/>
    </row>
    <row r="46" spans="1:18">
      <c r="A46" s="1581"/>
      <c r="B46" s="1581"/>
      <c r="C46" s="1013" t="s">
        <v>1229</v>
      </c>
      <c r="D46" s="1025" t="s">
        <v>1230</v>
      </c>
      <c r="E46" s="1015">
        <f>56845888+G46</f>
        <v>72005840</v>
      </c>
      <c r="F46" s="1015">
        <v>13143625</v>
      </c>
      <c r="G46" s="1015">
        <v>15159952</v>
      </c>
      <c r="H46" s="1015">
        <f>1493446.443625+J46</f>
        <v>1846680.2994250003</v>
      </c>
      <c r="I46" s="1015">
        <v>320455.85176250001</v>
      </c>
      <c r="J46" s="1015">
        <v>353233.85580000014</v>
      </c>
      <c r="K46" s="1016" t="s">
        <v>1231</v>
      </c>
      <c r="L46" s="1043"/>
      <c r="M46" s="1043"/>
      <c r="N46" s="1018">
        <v>119681.85714285714</v>
      </c>
      <c r="O46" s="1019">
        <v>2845.5202934523804</v>
      </c>
      <c r="P46" s="336"/>
      <c r="Q46" s="217"/>
      <c r="R46" s="217"/>
    </row>
    <row r="47" spans="1:18">
      <c r="A47" s="1581"/>
      <c r="B47" s="1581"/>
      <c r="C47" s="1013" t="s">
        <v>1232</v>
      </c>
      <c r="D47" s="1025" t="s">
        <v>1233</v>
      </c>
      <c r="E47" s="1015">
        <f>1268708+G47</f>
        <v>1969209</v>
      </c>
      <c r="F47" s="1015">
        <v>496581</v>
      </c>
      <c r="G47" s="1015">
        <v>700501</v>
      </c>
      <c r="H47" s="1015">
        <f>6902.39891625+J47</f>
        <v>10175.607316250003</v>
      </c>
      <c r="I47" s="1015">
        <v>2428.0550237500006</v>
      </c>
      <c r="J47" s="1015">
        <v>3273.2084000000032</v>
      </c>
      <c r="K47" s="1016" t="s">
        <v>1231</v>
      </c>
      <c r="L47" s="1043"/>
      <c r="M47" s="1043"/>
      <c r="N47" s="1018">
        <v>8109.333333333333</v>
      </c>
      <c r="O47" s="1019">
        <v>38.200168988095243</v>
      </c>
      <c r="P47" s="336"/>
      <c r="Q47" s="217"/>
      <c r="R47" s="217"/>
    </row>
    <row r="48" spans="1:18">
      <c r="A48" s="1581"/>
      <c r="B48" s="1582"/>
      <c r="C48" s="1020" t="s">
        <v>1234</v>
      </c>
      <c r="D48" s="1031"/>
      <c r="E48" s="1022">
        <f t="shared" ref="E48:J48" si="8">SUM(E44:E47)</f>
        <v>271762181</v>
      </c>
      <c r="F48" s="1022">
        <f t="shared" si="8"/>
        <v>59296802</v>
      </c>
      <c r="G48" s="1022">
        <f t="shared" si="8"/>
        <v>65397417</v>
      </c>
      <c r="H48" s="1022">
        <f t="shared" si="8"/>
        <v>14858785.786970844</v>
      </c>
      <c r="I48" s="1022">
        <f t="shared" si="8"/>
        <v>3349578.6523574991</v>
      </c>
      <c r="J48" s="1022">
        <f t="shared" si="8"/>
        <v>3416309.8942999938</v>
      </c>
      <c r="K48" s="1032"/>
      <c r="L48" s="1023"/>
      <c r="M48" s="1023"/>
      <c r="N48" s="1024"/>
      <c r="O48" s="1024"/>
      <c r="P48" s="336"/>
      <c r="Q48" s="217"/>
      <c r="R48" s="217"/>
    </row>
    <row r="49" spans="1:18" ht="30">
      <c r="A49" s="1582"/>
      <c r="B49" s="1037" t="s">
        <v>1241</v>
      </c>
      <c r="C49" s="1037" t="s">
        <v>1241</v>
      </c>
      <c r="D49" s="1038"/>
      <c r="E49" s="1039">
        <f t="shared" ref="E49:J49" si="9">SUM(E39,E43,E48)</f>
        <v>284961732</v>
      </c>
      <c r="F49" s="1039">
        <f t="shared" si="9"/>
        <v>61560284</v>
      </c>
      <c r="G49" s="1039">
        <f t="shared" si="9"/>
        <v>69026189</v>
      </c>
      <c r="H49" s="1039">
        <f t="shared" si="9"/>
        <v>17407549.799288843</v>
      </c>
      <c r="I49" s="1039">
        <f t="shared" si="9"/>
        <v>3917557.2131809993</v>
      </c>
      <c r="J49" s="1039">
        <f t="shared" si="9"/>
        <v>3949852.1534999935</v>
      </c>
      <c r="K49" s="1040"/>
      <c r="L49" s="1044"/>
      <c r="M49" s="1044"/>
      <c r="N49" s="1044"/>
      <c r="O49" s="1044"/>
      <c r="P49" s="336"/>
      <c r="Q49" s="217"/>
      <c r="R49" s="217"/>
    </row>
    <row r="50" spans="1:18" ht="12.6" customHeight="1">
      <c r="A50" s="1045" t="str">
        <f>"$ indicates as on "&amp;TEXT([6]Sheet1!$B$2,"MMMMMMMMMM DD, YYYY")</f>
        <v>$ indicates as on August 31, 2024</v>
      </c>
      <c r="B50" s="336"/>
      <c r="C50" s="1046"/>
      <c r="D50" s="1047"/>
      <c r="E50" s="1046"/>
      <c r="F50" s="1046"/>
      <c r="G50" s="1046"/>
      <c r="H50" s="1046"/>
      <c r="I50" s="1046"/>
      <c r="J50" s="1046"/>
      <c r="K50" s="1046"/>
      <c r="L50" s="1046"/>
      <c r="M50" s="1046"/>
      <c r="N50" s="1046"/>
      <c r="O50" s="1046"/>
      <c r="P50" s="336"/>
      <c r="Q50" s="217"/>
      <c r="R50" s="217"/>
    </row>
    <row r="51" spans="1:18" ht="12.6" customHeight="1">
      <c r="A51" s="1048" t="s">
        <v>522</v>
      </c>
      <c r="B51" s="1049"/>
      <c r="C51" s="1049"/>
      <c r="D51" s="1050"/>
      <c r="E51" s="1049"/>
      <c r="F51" s="1049"/>
      <c r="G51" s="1049"/>
      <c r="H51" s="1049"/>
      <c r="I51" s="1049"/>
      <c r="J51" s="1049"/>
      <c r="K51" s="1049"/>
      <c r="L51" s="1049"/>
      <c r="M51" s="1049"/>
      <c r="N51" s="1049"/>
      <c r="O51" s="1049"/>
      <c r="P51" s="336"/>
      <c r="Q51" s="217"/>
      <c r="R51" s="217"/>
    </row>
    <row r="52" spans="1:18">
      <c r="A52" s="1045" t="s">
        <v>1242</v>
      </c>
      <c r="B52" s="1049"/>
      <c r="C52" s="1049"/>
      <c r="D52" s="1050"/>
      <c r="E52" s="1049"/>
      <c r="F52" s="1049"/>
      <c r="G52" s="1049"/>
      <c r="H52" s="1049"/>
      <c r="I52" s="1049"/>
      <c r="J52" s="1049"/>
      <c r="K52" s="1049"/>
      <c r="L52" s="1049"/>
      <c r="M52" s="1049"/>
      <c r="N52" s="1049"/>
      <c r="O52" s="1049"/>
      <c r="P52" s="336"/>
      <c r="Q52" s="217"/>
      <c r="R52" s="217"/>
    </row>
    <row r="53" spans="1:18">
      <c r="A53" s="1045" t="s">
        <v>1243</v>
      </c>
      <c r="B53" s="1049"/>
      <c r="C53" s="1049"/>
      <c r="D53" s="1050"/>
      <c r="E53" s="1049"/>
      <c r="F53" s="1049"/>
      <c r="G53" s="1049"/>
      <c r="H53" s="1049"/>
      <c r="I53" s="1049"/>
      <c r="J53" s="1049"/>
      <c r="K53" s="1049"/>
      <c r="L53" s="1049"/>
      <c r="M53" s="1049"/>
      <c r="N53" s="1049"/>
      <c r="O53" s="1049"/>
      <c r="P53" s="336"/>
      <c r="Q53" s="217"/>
      <c r="R53" s="217"/>
    </row>
    <row r="54" spans="1:18">
      <c r="A54" s="1045" t="s">
        <v>1244</v>
      </c>
      <c r="B54" s="1049"/>
      <c r="C54" s="1049"/>
      <c r="D54" s="1050"/>
      <c r="E54" s="1049"/>
      <c r="F54" s="1049"/>
      <c r="G54" s="1049"/>
      <c r="H54" s="1049"/>
      <c r="I54" s="1049"/>
      <c r="J54" s="1049"/>
      <c r="K54" s="1049"/>
      <c r="L54" s="1049"/>
      <c r="M54" s="1049"/>
      <c r="N54" s="1049"/>
      <c r="O54" s="1049"/>
      <c r="P54" s="336"/>
      <c r="Q54" s="217"/>
      <c r="R54" s="217"/>
    </row>
    <row r="55" spans="1:18">
      <c r="A55" s="1045" t="s">
        <v>1245</v>
      </c>
      <c r="B55" s="1049"/>
      <c r="C55" s="1049"/>
      <c r="D55" s="1050"/>
      <c r="E55" s="1049"/>
      <c r="F55" s="1049"/>
      <c r="G55" s="1049"/>
      <c r="H55" s="1049"/>
      <c r="I55" s="1049"/>
      <c r="J55" s="1049"/>
      <c r="K55" s="1049"/>
      <c r="L55" s="1049"/>
      <c r="M55" s="1049"/>
      <c r="N55" s="1049"/>
      <c r="O55" s="1049"/>
      <c r="P55" s="336"/>
      <c r="Q55" s="217"/>
      <c r="R55" s="217"/>
    </row>
    <row r="56" spans="1:18">
      <c r="A56" s="336" t="s">
        <v>1246</v>
      </c>
      <c r="B56" s="912"/>
      <c r="C56" s="217"/>
      <c r="D56" s="1051"/>
      <c r="E56" s="217"/>
      <c r="F56" s="217"/>
      <c r="G56" s="217"/>
      <c r="H56" s="217"/>
      <c r="I56" s="217"/>
      <c r="J56" s="217"/>
      <c r="K56" s="217"/>
      <c r="L56" s="217"/>
      <c r="M56" s="217"/>
      <c r="N56" s="217"/>
      <c r="O56" s="217"/>
      <c r="P56" s="336"/>
      <c r="Q56" s="217"/>
      <c r="R56" s="217"/>
    </row>
    <row r="57" spans="1:18">
      <c r="A57" s="331"/>
      <c r="B57" s="1049"/>
      <c r="C57" s="1049"/>
      <c r="D57" s="1050"/>
      <c r="E57" s="1049"/>
      <c r="F57" s="1049"/>
      <c r="G57" s="1049"/>
      <c r="H57" s="1049"/>
      <c r="I57" s="1049"/>
      <c r="J57" s="1049"/>
      <c r="K57" s="1049"/>
      <c r="L57" s="1049"/>
      <c r="M57" s="1049"/>
      <c r="N57" s="1049"/>
      <c r="O57" s="1049"/>
      <c r="P57" s="336"/>
      <c r="Q57" s="217"/>
      <c r="R57" s="217"/>
    </row>
    <row r="58" spans="1:18">
      <c r="A58" s="331"/>
      <c r="B58" s="1049"/>
      <c r="C58" s="1049"/>
      <c r="D58" s="1050"/>
      <c r="E58" s="1049"/>
      <c r="F58" s="1049"/>
      <c r="G58" s="1049"/>
      <c r="H58" s="1049"/>
      <c r="I58" s="1049"/>
      <c r="J58" s="1049"/>
      <c r="K58" s="1049"/>
      <c r="L58" s="1049"/>
      <c r="M58" s="1049"/>
      <c r="N58" s="1049"/>
      <c r="O58" s="1049"/>
      <c r="P58" s="336"/>
      <c r="Q58" s="217"/>
      <c r="R58" s="217"/>
    </row>
    <row r="59" spans="1:18">
      <c r="A59" s="331"/>
      <c r="B59" s="1049"/>
      <c r="C59" s="1049"/>
      <c r="D59" s="1050"/>
      <c r="E59" s="1049"/>
      <c r="F59" s="1049"/>
      <c r="G59" s="1049"/>
      <c r="H59" s="1049"/>
      <c r="I59" s="1049"/>
      <c r="J59" s="1049"/>
      <c r="K59" s="1049"/>
      <c r="L59" s="1049"/>
      <c r="M59" s="1049"/>
      <c r="N59" s="1049"/>
      <c r="O59" s="1049"/>
      <c r="P59" s="14"/>
      <c r="Q59" s="1052"/>
      <c r="R59" s="217"/>
    </row>
    <row r="60" spans="1:18">
      <c r="A60" s="331"/>
      <c r="B60" s="912"/>
      <c r="C60" s="336"/>
      <c r="D60" s="1050"/>
      <c r="E60" s="336"/>
      <c r="F60" s="336"/>
      <c r="G60" s="336"/>
      <c r="H60" s="336"/>
      <c r="I60" s="336"/>
      <c r="J60" s="336"/>
      <c r="K60" s="336"/>
      <c r="L60" s="336"/>
      <c r="M60" s="336"/>
      <c r="N60" s="336"/>
      <c r="O60" s="336"/>
      <c r="P60" s="14"/>
      <c r="Q60" s="1052"/>
      <c r="R60" s="217"/>
    </row>
  </sheetData>
  <mergeCells count="19">
    <mergeCell ref="L2:M2"/>
    <mergeCell ref="N2:O2"/>
    <mergeCell ref="A4:A34"/>
    <mergeCell ref="B4:B11"/>
    <mergeCell ref="B12:B21"/>
    <mergeCell ref="B22:B25"/>
    <mergeCell ref="B26:B30"/>
    <mergeCell ref="B31:B33"/>
    <mergeCell ref="A2:A3"/>
    <mergeCell ref="B2:B3"/>
    <mergeCell ref="C2:C3"/>
    <mergeCell ref="D2:D3"/>
    <mergeCell ref="E2:G2"/>
    <mergeCell ref="H2:J2"/>
    <mergeCell ref="A35:A49"/>
    <mergeCell ref="B35:B39"/>
    <mergeCell ref="B40:B43"/>
    <mergeCell ref="B44:B48"/>
    <mergeCell ref="K2:K3"/>
  </mergeCells>
  <printOptions horizontalCentered="1"/>
  <pageMargins left="0.7" right="0.7" top="0.75" bottom="0.75" header="0.3" footer="0.3"/>
  <pageSetup paperSize="9" scale="66" fitToHeight="0" orientation="landscape" r:id="rId1"/>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D53"/>
  <sheetViews>
    <sheetView workbookViewId="0">
      <selection sqref="A1:P1"/>
    </sheetView>
  </sheetViews>
  <sheetFormatPr defaultColWidth="9.140625" defaultRowHeight="11.25"/>
  <cols>
    <col min="1" max="1" width="7.85546875" style="1054" customWidth="1"/>
    <col min="2" max="2" width="11.85546875" style="1054" customWidth="1"/>
    <col min="3" max="3" width="21.28515625" style="1054" customWidth="1"/>
    <col min="4" max="4" width="11" style="1054" bestFit="1" customWidth="1"/>
    <col min="5" max="5" width="8.140625" style="1054" customWidth="1"/>
    <col min="6" max="6" width="10.7109375" style="1054" customWidth="1"/>
    <col min="7" max="8" width="10.5703125" style="1054" customWidth="1"/>
    <col min="9" max="11" width="10.140625" style="1054" bestFit="1" customWidth="1"/>
    <col min="12" max="12" width="14.140625" style="1054" customWidth="1"/>
    <col min="13" max="14" width="9" style="1054" customWidth="1"/>
    <col min="15" max="16" width="9.28515625" style="1054" bestFit="1" customWidth="1"/>
    <col min="17" max="19" width="9.140625" style="1054"/>
    <col min="20" max="20" width="10.7109375" style="1054" bestFit="1" customWidth="1"/>
    <col min="21" max="16384" width="9.140625" style="1054"/>
  </cols>
  <sheetData>
    <row r="1" spans="1:30" ht="18" customHeight="1">
      <c r="A1" s="1601" t="s">
        <v>1247</v>
      </c>
      <c r="B1" s="1601"/>
      <c r="C1" s="1601"/>
      <c r="D1" s="1601"/>
      <c r="E1" s="1601"/>
      <c r="F1" s="1601"/>
      <c r="G1" s="1601"/>
      <c r="H1" s="1601"/>
      <c r="I1" s="1601"/>
      <c r="J1" s="1601"/>
      <c r="K1" s="1601"/>
      <c r="L1" s="1601"/>
      <c r="M1" s="1601"/>
      <c r="N1" s="1601"/>
      <c r="O1" s="1601"/>
      <c r="P1" s="1601"/>
    </row>
    <row r="2" spans="1:30" ht="15">
      <c r="A2" s="1602" t="s">
        <v>1169</v>
      </c>
      <c r="B2" s="1602" t="s">
        <v>1248</v>
      </c>
      <c r="C2" s="1602" t="s">
        <v>1249</v>
      </c>
      <c r="D2" s="1603" t="s">
        <v>1250</v>
      </c>
      <c r="E2" s="1603" t="s">
        <v>1251</v>
      </c>
      <c r="F2" s="1605" t="s">
        <v>515</v>
      </c>
      <c r="G2" s="1606"/>
      <c r="H2" s="1607"/>
      <c r="I2" s="1602" t="s">
        <v>234</v>
      </c>
      <c r="J2" s="1602"/>
      <c r="K2" s="1602"/>
      <c r="L2" s="1603" t="s">
        <v>1252</v>
      </c>
      <c r="M2" s="1606"/>
      <c r="N2" s="1607"/>
      <c r="O2" s="1602" t="s">
        <v>1253</v>
      </c>
      <c r="P2" s="1602"/>
    </row>
    <row r="3" spans="1:30" ht="105">
      <c r="A3" s="1602"/>
      <c r="B3" s="1602"/>
      <c r="C3" s="1602"/>
      <c r="D3" s="1604" t="s">
        <v>1254</v>
      </c>
      <c r="E3" s="1604"/>
      <c r="F3" s="1012" t="s">
        <v>743</v>
      </c>
      <c r="G3" s="1055">
        <v>45474</v>
      </c>
      <c r="H3" s="1055">
        <v>45505</v>
      </c>
      <c r="I3" s="1012" t="s">
        <v>743</v>
      </c>
      <c r="J3" s="1055">
        <v>45474</v>
      </c>
      <c r="K3" s="1055">
        <v>45505</v>
      </c>
      <c r="L3" s="1604"/>
      <c r="M3" s="1056">
        <v>45474</v>
      </c>
      <c r="N3" s="1056">
        <v>45505</v>
      </c>
      <c r="O3" s="1012" t="s">
        <v>1255</v>
      </c>
      <c r="P3" s="1012" t="s">
        <v>1412</v>
      </c>
      <c r="U3" s="1057"/>
      <c r="V3" s="1057"/>
    </row>
    <row r="4" spans="1:30" ht="15.75">
      <c r="A4" s="1595" t="s">
        <v>1256</v>
      </c>
      <c r="B4" s="1595" t="s">
        <v>1257</v>
      </c>
      <c r="C4" s="1058" t="s">
        <v>1258</v>
      </c>
      <c r="D4" s="1059" t="s">
        <v>1259</v>
      </c>
      <c r="E4" s="1060" t="s">
        <v>1260</v>
      </c>
      <c r="F4" s="1061">
        <v>0</v>
      </c>
      <c r="G4" s="1062">
        <v>0</v>
      </c>
      <c r="H4" s="1062">
        <v>0</v>
      </c>
      <c r="I4" s="1063">
        <v>0</v>
      </c>
      <c r="J4" s="1064">
        <v>0</v>
      </c>
      <c r="K4" s="1064">
        <v>0</v>
      </c>
      <c r="L4" s="1061" t="s">
        <v>1261</v>
      </c>
      <c r="M4" s="1064">
        <v>2435</v>
      </c>
      <c r="N4" s="1064">
        <v>2454</v>
      </c>
      <c r="O4" s="1064">
        <v>0</v>
      </c>
      <c r="P4" s="1064">
        <v>0</v>
      </c>
      <c r="Q4" s="1065"/>
      <c r="AD4" s="1066"/>
    </row>
    <row r="5" spans="1:30" ht="15.75">
      <c r="A5" s="1595"/>
      <c r="B5" s="1595"/>
      <c r="C5" s="1058" t="s">
        <v>1262</v>
      </c>
      <c r="D5" s="1059" t="s">
        <v>1263</v>
      </c>
      <c r="E5" s="1060" t="s">
        <v>1260</v>
      </c>
      <c r="F5" s="1061">
        <v>3</v>
      </c>
      <c r="G5" s="1062">
        <v>0</v>
      </c>
      <c r="H5" s="1062">
        <v>0</v>
      </c>
      <c r="I5" s="1063">
        <v>0.06</v>
      </c>
      <c r="J5" s="1064">
        <v>0</v>
      </c>
      <c r="K5" s="1064">
        <v>0</v>
      </c>
      <c r="L5" s="1061" t="s">
        <v>1261</v>
      </c>
      <c r="M5" s="1064">
        <v>2168</v>
      </c>
      <c r="N5" s="1064">
        <v>2300</v>
      </c>
      <c r="O5" s="1064">
        <v>0</v>
      </c>
      <c r="P5" s="1064">
        <v>0</v>
      </c>
      <c r="Q5" s="1065"/>
      <c r="AD5" s="1066"/>
    </row>
    <row r="6" spans="1:30" ht="15.75">
      <c r="A6" s="1595"/>
      <c r="B6" s="1595"/>
      <c r="C6" s="1058" t="s">
        <v>1264</v>
      </c>
      <c r="D6" s="1059" t="s">
        <v>1264</v>
      </c>
      <c r="E6" s="1060" t="s">
        <v>1265</v>
      </c>
      <c r="F6" s="1061">
        <v>0</v>
      </c>
      <c r="G6" s="1062">
        <v>0</v>
      </c>
      <c r="H6" s="1062">
        <v>0</v>
      </c>
      <c r="I6" s="1063">
        <v>0</v>
      </c>
      <c r="J6" s="1064">
        <v>0</v>
      </c>
      <c r="K6" s="1064">
        <v>0</v>
      </c>
      <c r="L6" s="1061" t="s">
        <v>1266</v>
      </c>
      <c r="M6" s="1064">
        <v>1245</v>
      </c>
      <c r="N6" s="1064">
        <v>1248</v>
      </c>
      <c r="O6" s="1064">
        <v>0</v>
      </c>
      <c r="P6" s="1064">
        <v>0</v>
      </c>
      <c r="Q6" s="1065"/>
      <c r="AD6" s="1066"/>
    </row>
    <row r="7" spans="1:30" ht="15">
      <c r="A7" s="1595"/>
      <c r="B7" s="1595"/>
      <c r="C7" s="1058" t="s">
        <v>1267</v>
      </c>
      <c r="D7" s="1059" t="s">
        <v>1268</v>
      </c>
      <c r="E7" s="1060" t="s">
        <v>1200</v>
      </c>
      <c r="F7" s="1061">
        <v>198181</v>
      </c>
      <c r="G7" s="1061">
        <v>49126</v>
      </c>
      <c r="H7" s="1061">
        <v>48040</v>
      </c>
      <c r="I7" s="1063">
        <v>5895.12</v>
      </c>
      <c r="J7" s="1064">
        <v>1491.14</v>
      </c>
      <c r="K7" s="1064">
        <v>1489.3</v>
      </c>
      <c r="L7" s="1061" t="s">
        <v>1261</v>
      </c>
      <c r="M7" s="1064">
        <v>6167</v>
      </c>
      <c r="N7" s="1064">
        <v>6157</v>
      </c>
      <c r="O7" s="1064">
        <v>9272</v>
      </c>
      <c r="P7" s="1064">
        <v>288</v>
      </c>
      <c r="Q7" s="1065"/>
    </row>
    <row r="8" spans="1:30" ht="15">
      <c r="A8" s="1595"/>
      <c r="B8" s="1595"/>
      <c r="C8" s="1067" t="s">
        <v>1269</v>
      </c>
      <c r="D8" s="1059" t="s">
        <v>1270</v>
      </c>
      <c r="E8" s="1060" t="s">
        <v>1260</v>
      </c>
      <c r="F8" s="1061">
        <v>0</v>
      </c>
      <c r="G8" s="1061">
        <v>0</v>
      </c>
      <c r="H8" s="1061">
        <v>0</v>
      </c>
      <c r="I8" s="1063">
        <v>0</v>
      </c>
      <c r="J8" s="1064">
        <v>0</v>
      </c>
      <c r="K8" s="1064">
        <v>0</v>
      </c>
      <c r="L8" s="1061" t="s">
        <v>1261</v>
      </c>
      <c r="M8" s="1064" t="s">
        <v>235</v>
      </c>
      <c r="N8" s="1064" t="s">
        <v>235</v>
      </c>
      <c r="O8" s="1064" t="s">
        <v>235</v>
      </c>
      <c r="P8" s="1064" t="s">
        <v>235</v>
      </c>
      <c r="Q8" s="1065"/>
    </row>
    <row r="9" spans="1:30" ht="15">
      <c r="A9" s="1595"/>
      <c r="B9" s="1595"/>
      <c r="C9" s="1058" t="s">
        <v>1271</v>
      </c>
      <c r="D9" s="1059" t="s">
        <v>1272</v>
      </c>
      <c r="E9" s="1060" t="s">
        <v>1273</v>
      </c>
      <c r="F9" s="1061">
        <v>0</v>
      </c>
      <c r="G9" s="1061">
        <v>0</v>
      </c>
      <c r="H9" s="1061">
        <v>0</v>
      </c>
      <c r="I9" s="1063">
        <v>0</v>
      </c>
      <c r="J9" s="1064">
        <v>0</v>
      </c>
      <c r="K9" s="1064">
        <v>0</v>
      </c>
      <c r="L9" s="1061" t="s">
        <v>1261</v>
      </c>
      <c r="M9" s="1064" t="s">
        <v>235</v>
      </c>
      <c r="N9" s="1064" t="s">
        <v>235</v>
      </c>
      <c r="O9" s="1064" t="s">
        <v>235</v>
      </c>
      <c r="P9" s="1064" t="s">
        <v>235</v>
      </c>
      <c r="Q9" s="1065"/>
    </row>
    <row r="10" spans="1:30" ht="15.75">
      <c r="A10" s="1595"/>
      <c r="B10" s="1595"/>
      <c r="C10" s="1058" t="s">
        <v>1274</v>
      </c>
      <c r="D10" s="1059" t="s">
        <v>1275</v>
      </c>
      <c r="E10" s="1060" t="s">
        <v>1200</v>
      </c>
      <c r="F10" s="1061">
        <v>123345</v>
      </c>
      <c r="G10" s="1061">
        <v>24649</v>
      </c>
      <c r="H10" s="1061">
        <v>24706</v>
      </c>
      <c r="I10" s="1063">
        <v>4524.2700000000004</v>
      </c>
      <c r="J10" s="1064">
        <v>892.4</v>
      </c>
      <c r="K10" s="1064">
        <v>857.8</v>
      </c>
      <c r="L10" s="1061" t="s">
        <v>1261</v>
      </c>
      <c r="M10" s="1064">
        <v>7254</v>
      </c>
      <c r="N10" s="1064">
        <v>6946</v>
      </c>
      <c r="O10" s="1064">
        <v>6291</v>
      </c>
      <c r="P10" s="1064">
        <v>218</v>
      </c>
      <c r="Q10" s="1065"/>
      <c r="AD10" s="1066"/>
    </row>
    <row r="11" spans="1:30" ht="15.75">
      <c r="A11" s="1595"/>
      <c r="B11" s="1595"/>
      <c r="C11" s="1058" t="s">
        <v>1276</v>
      </c>
      <c r="D11" s="1059" t="s">
        <v>1277</v>
      </c>
      <c r="E11" s="1060" t="s">
        <v>1273</v>
      </c>
      <c r="F11" s="1061">
        <v>0</v>
      </c>
      <c r="G11" s="1061">
        <v>0</v>
      </c>
      <c r="H11" s="1061">
        <v>0</v>
      </c>
      <c r="I11" s="1063">
        <v>0</v>
      </c>
      <c r="J11" s="1064">
        <v>0</v>
      </c>
      <c r="K11" s="1064">
        <v>0</v>
      </c>
      <c r="L11" s="1061" t="s">
        <v>1278</v>
      </c>
      <c r="M11" s="1064">
        <v>27680</v>
      </c>
      <c r="N11" s="1064">
        <v>27610</v>
      </c>
      <c r="O11" s="1064">
        <v>0</v>
      </c>
      <c r="P11" s="1064">
        <v>0</v>
      </c>
      <c r="Q11" s="1065"/>
      <c r="AD11" s="1066"/>
    </row>
    <row r="12" spans="1:30" ht="15.75">
      <c r="A12" s="1595"/>
      <c r="B12" s="1595"/>
      <c r="C12" s="1058" t="s">
        <v>1279</v>
      </c>
      <c r="D12" s="1059" t="s">
        <v>1280</v>
      </c>
      <c r="E12" s="1060" t="s">
        <v>1260</v>
      </c>
      <c r="F12" s="1061">
        <v>323853</v>
      </c>
      <c r="G12" s="1061">
        <v>73747</v>
      </c>
      <c r="H12" s="1061">
        <v>52334</v>
      </c>
      <c r="I12" s="1063">
        <v>9073.3100000000013</v>
      </c>
      <c r="J12" s="1064">
        <v>2169.85</v>
      </c>
      <c r="K12" s="1064">
        <v>1629.04</v>
      </c>
      <c r="L12" s="1061" t="s">
        <v>1261</v>
      </c>
      <c r="M12" s="1064">
        <v>2889</v>
      </c>
      <c r="N12" s="1064">
        <v>3520</v>
      </c>
      <c r="O12" s="1064">
        <v>4604</v>
      </c>
      <c r="P12" s="1064">
        <v>141</v>
      </c>
      <c r="Q12" s="1065"/>
      <c r="AD12" s="1066"/>
    </row>
    <row r="13" spans="1:30" ht="15">
      <c r="A13" s="1595"/>
      <c r="B13" s="1595"/>
      <c r="C13" s="1058" t="s">
        <v>1281</v>
      </c>
      <c r="D13" s="1059" t="s">
        <v>1281</v>
      </c>
      <c r="E13" s="1060" t="s">
        <v>1260</v>
      </c>
      <c r="F13" s="1061">
        <v>0</v>
      </c>
      <c r="G13" s="1061">
        <v>0</v>
      </c>
      <c r="H13" s="1061">
        <v>0</v>
      </c>
      <c r="I13" s="1063">
        <v>0</v>
      </c>
      <c r="J13" s="1064">
        <v>0</v>
      </c>
      <c r="K13" s="1064">
        <v>0</v>
      </c>
      <c r="L13" s="1061" t="s">
        <v>1266</v>
      </c>
      <c r="M13" s="1064" t="s">
        <v>235</v>
      </c>
      <c r="N13" s="1064" t="s">
        <v>235</v>
      </c>
      <c r="O13" s="1064" t="s">
        <v>235</v>
      </c>
      <c r="P13" s="1064" t="s">
        <v>235</v>
      </c>
      <c r="Q13" s="1065"/>
    </row>
    <row r="14" spans="1:30" ht="15">
      <c r="A14" s="1595"/>
      <c r="B14" s="1595"/>
      <c r="C14" s="1058" t="s">
        <v>1282</v>
      </c>
      <c r="D14" s="1059" t="s">
        <v>1283</v>
      </c>
      <c r="E14" s="1060" t="s">
        <v>1260</v>
      </c>
      <c r="F14" s="1061">
        <v>516814</v>
      </c>
      <c r="G14" s="1061">
        <v>115804</v>
      </c>
      <c r="H14" s="1061">
        <v>102210</v>
      </c>
      <c r="I14" s="1063">
        <v>14036.509999999998</v>
      </c>
      <c r="J14" s="1064">
        <v>3176.13</v>
      </c>
      <c r="K14" s="1064">
        <v>2723.09</v>
      </c>
      <c r="L14" s="1061" t="s">
        <v>1261</v>
      </c>
      <c r="M14" s="1064">
        <v>5661</v>
      </c>
      <c r="N14" s="1064">
        <v>5293</v>
      </c>
      <c r="O14" s="1064">
        <v>11860</v>
      </c>
      <c r="P14" s="1064">
        <v>315</v>
      </c>
      <c r="Q14" s="1065"/>
    </row>
    <row r="15" spans="1:30" ht="15">
      <c r="A15" s="1595"/>
      <c r="B15" s="1595"/>
      <c r="C15" s="1058" t="s">
        <v>1284</v>
      </c>
      <c r="D15" s="1059" t="s">
        <v>1285</v>
      </c>
      <c r="E15" s="1060" t="s">
        <v>1200</v>
      </c>
      <c r="F15" s="1061">
        <v>258023</v>
      </c>
      <c r="G15" s="1061">
        <v>56183</v>
      </c>
      <c r="H15" s="1061">
        <v>53841</v>
      </c>
      <c r="I15" s="1063">
        <v>13804.66</v>
      </c>
      <c r="J15" s="1064">
        <v>3026.91</v>
      </c>
      <c r="K15" s="1064">
        <v>2815.78</v>
      </c>
      <c r="L15" s="1061" t="s">
        <v>1261</v>
      </c>
      <c r="M15" s="1064">
        <v>11217</v>
      </c>
      <c r="N15" s="1064">
        <v>10451</v>
      </c>
      <c r="O15" s="1064">
        <v>10507</v>
      </c>
      <c r="P15" s="1064">
        <v>549</v>
      </c>
      <c r="Q15" s="1065"/>
    </row>
    <row r="16" spans="1:30" ht="15">
      <c r="A16" s="1595"/>
      <c r="B16" s="1595"/>
      <c r="C16" s="1058" t="s">
        <v>1286</v>
      </c>
      <c r="D16" s="1059" t="s">
        <v>1287</v>
      </c>
      <c r="E16" s="1060" t="s">
        <v>1288</v>
      </c>
      <c r="F16" s="1061">
        <v>0</v>
      </c>
      <c r="G16" s="1061">
        <v>0</v>
      </c>
      <c r="H16" s="1061">
        <v>0</v>
      </c>
      <c r="I16" s="1063">
        <v>0</v>
      </c>
      <c r="J16" s="1064">
        <v>0</v>
      </c>
      <c r="K16" s="1064">
        <v>0</v>
      </c>
      <c r="L16" s="1061" t="s">
        <v>1261</v>
      </c>
      <c r="M16" s="1064">
        <v>5876</v>
      </c>
      <c r="N16" s="1064">
        <v>5616</v>
      </c>
      <c r="O16" s="1064">
        <v>0</v>
      </c>
      <c r="P16" s="1064">
        <v>0</v>
      </c>
      <c r="Q16" s="1065"/>
    </row>
    <row r="17" spans="1:18" ht="15">
      <c r="A17" s="1595"/>
      <c r="B17" s="1595"/>
      <c r="C17" s="1058" t="s">
        <v>1289</v>
      </c>
      <c r="D17" s="1059" t="s">
        <v>1290</v>
      </c>
      <c r="E17" s="1060" t="s">
        <v>1260</v>
      </c>
      <c r="F17" s="1061">
        <v>0</v>
      </c>
      <c r="G17" s="1061">
        <v>0</v>
      </c>
      <c r="H17" s="1061">
        <v>0</v>
      </c>
      <c r="I17" s="1063">
        <v>0</v>
      </c>
      <c r="J17" s="1064">
        <v>0</v>
      </c>
      <c r="K17" s="1064">
        <v>0</v>
      </c>
      <c r="L17" s="1061" t="s">
        <v>1291</v>
      </c>
      <c r="M17" s="1064" t="s">
        <v>235</v>
      </c>
      <c r="N17" s="1064" t="s">
        <v>235</v>
      </c>
      <c r="O17" s="1064" t="s">
        <v>235</v>
      </c>
      <c r="P17" s="1064" t="s">
        <v>235</v>
      </c>
      <c r="Q17" s="1065"/>
    </row>
    <row r="18" spans="1:18" ht="15">
      <c r="A18" s="1595"/>
      <c r="B18" s="1595"/>
      <c r="C18" s="1058" t="s">
        <v>1292</v>
      </c>
      <c r="D18" s="1059" t="s">
        <v>1293</v>
      </c>
      <c r="E18" s="1060" t="s">
        <v>1294</v>
      </c>
      <c r="F18" s="1061">
        <v>0</v>
      </c>
      <c r="G18" s="1061">
        <v>0</v>
      </c>
      <c r="H18" s="1061">
        <v>0</v>
      </c>
      <c r="I18" s="1063">
        <v>0</v>
      </c>
      <c r="J18" s="1064">
        <v>0</v>
      </c>
      <c r="K18" s="1064">
        <v>0</v>
      </c>
      <c r="L18" s="1061" t="s">
        <v>1261</v>
      </c>
      <c r="M18" s="1064">
        <v>13980</v>
      </c>
      <c r="N18" s="1064">
        <v>13760</v>
      </c>
      <c r="O18" s="1064">
        <v>0</v>
      </c>
      <c r="P18" s="1064">
        <v>0</v>
      </c>
      <c r="Q18" s="1065"/>
    </row>
    <row r="19" spans="1:18" ht="15">
      <c r="A19" s="1595"/>
      <c r="B19" s="1595"/>
      <c r="C19" s="1058" t="s">
        <v>1295</v>
      </c>
      <c r="D19" s="1059" t="s">
        <v>1296</v>
      </c>
      <c r="E19" s="1060"/>
      <c r="F19" s="1061">
        <v>21</v>
      </c>
      <c r="G19" s="1061">
        <v>0</v>
      </c>
      <c r="H19" s="1061">
        <v>0</v>
      </c>
      <c r="I19" s="1063">
        <v>0.49</v>
      </c>
      <c r="J19" s="1064">
        <v>0</v>
      </c>
      <c r="K19" s="1064">
        <v>0</v>
      </c>
      <c r="L19" s="1061"/>
      <c r="M19" s="1064">
        <v>26880</v>
      </c>
      <c r="N19" s="1064">
        <v>25625</v>
      </c>
      <c r="O19" s="1064">
        <v>0</v>
      </c>
      <c r="P19" s="1064">
        <v>0</v>
      </c>
      <c r="Q19" s="1065"/>
    </row>
    <row r="20" spans="1:18" ht="15">
      <c r="A20" s="1595"/>
      <c r="B20" s="1595"/>
      <c r="C20" s="1067" t="s">
        <v>1295</v>
      </c>
      <c r="D20" s="1059" t="s">
        <v>1297</v>
      </c>
      <c r="E20" s="1060" t="s">
        <v>1294</v>
      </c>
      <c r="F20" s="1061">
        <v>61461</v>
      </c>
      <c r="G20" s="1061">
        <v>10706</v>
      </c>
      <c r="H20" s="1061">
        <v>8780</v>
      </c>
      <c r="I20" s="1063">
        <v>4879.7700000000004</v>
      </c>
      <c r="J20" s="1064">
        <v>882.43</v>
      </c>
      <c r="K20" s="1064">
        <v>678.83</v>
      </c>
      <c r="L20" s="1061" t="s">
        <v>1261</v>
      </c>
      <c r="M20" s="1064">
        <v>26835</v>
      </c>
      <c r="N20" s="1064">
        <v>25710</v>
      </c>
      <c r="O20" s="1064">
        <v>1113</v>
      </c>
      <c r="P20" s="1064">
        <v>86</v>
      </c>
      <c r="Q20" s="1065"/>
    </row>
    <row r="21" spans="1:18" ht="15">
      <c r="A21" s="1595"/>
      <c r="B21" s="1595"/>
      <c r="C21" s="1058" t="s">
        <v>1220</v>
      </c>
      <c r="D21" s="1059" t="s">
        <v>1298</v>
      </c>
      <c r="E21" s="1060" t="s">
        <v>1221</v>
      </c>
      <c r="F21" s="1061">
        <v>13742</v>
      </c>
      <c r="G21" s="1061">
        <v>2704</v>
      </c>
      <c r="H21" s="1061">
        <v>4048</v>
      </c>
      <c r="I21" s="1063">
        <v>432.13</v>
      </c>
      <c r="J21" s="1064">
        <v>86.74</v>
      </c>
      <c r="K21" s="1064">
        <v>130.13999999999999</v>
      </c>
      <c r="L21" s="1061" t="s">
        <v>1299</v>
      </c>
      <c r="M21" s="1064">
        <v>1531</v>
      </c>
      <c r="N21" s="1064">
        <v>1575</v>
      </c>
      <c r="O21" s="1064">
        <v>1271</v>
      </c>
      <c r="P21" s="1064">
        <v>40</v>
      </c>
      <c r="Q21" s="1065"/>
    </row>
    <row r="22" spans="1:18" ht="15">
      <c r="A22" s="1595"/>
      <c r="B22" s="1595"/>
      <c r="C22" s="1058" t="s">
        <v>1300</v>
      </c>
      <c r="D22" s="1059" t="s">
        <v>1301</v>
      </c>
      <c r="E22" s="1060" t="s">
        <v>1260</v>
      </c>
      <c r="F22" s="1061">
        <v>0</v>
      </c>
      <c r="G22" s="1061">
        <v>0</v>
      </c>
      <c r="H22" s="1061">
        <v>0</v>
      </c>
      <c r="I22" s="1063">
        <v>0</v>
      </c>
      <c r="J22" s="1064">
        <v>0</v>
      </c>
      <c r="K22" s="1064">
        <v>0</v>
      </c>
      <c r="L22" s="1061" t="s">
        <v>1261</v>
      </c>
      <c r="M22" s="1064">
        <v>2510</v>
      </c>
      <c r="N22" s="1064">
        <v>2581</v>
      </c>
      <c r="O22" s="1064">
        <v>0</v>
      </c>
      <c r="P22" s="1064">
        <v>0</v>
      </c>
      <c r="Q22" s="1065"/>
    </row>
    <row r="23" spans="1:18" ht="15">
      <c r="A23" s="1595"/>
      <c r="B23" s="1595"/>
      <c r="C23" s="1058" t="s">
        <v>1302</v>
      </c>
      <c r="D23" s="1059" t="s">
        <v>1303</v>
      </c>
      <c r="E23" s="1060" t="s">
        <v>1200</v>
      </c>
      <c r="F23" s="1061">
        <v>0</v>
      </c>
      <c r="G23" s="1061">
        <v>0</v>
      </c>
      <c r="H23" s="1061">
        <v>0</v>
      </c>
      <c r="I23" s="1063">
        <v>0</v>
      </c>
      <c r="J23" s="1064">
        <v>0</v>
      </c>
      <c r="K23" s="1064">
        <v>0</v>
      </c>
      <c r="L23" s="1061" t="s">
        <v>1266</v>
      </c>
      <c r="M23" s="1064" t="s">
        <v>235</v>
      </c>
      <c r="N23" s="1064" t="s">
        <v>235</v>
      </c>
      <c r="O23" s="1064" t="s">
        <v>235</v>
      </c>
      <c r="P23" s="1064" t="s">
        <v>235</v>
      </c>
      <c r="Q23" s="1065"/>
    </row>
    <row r="24" spans="1:18" ht="15">
      <c r="A24" s="1595"/>
      <c r="B24" s="1595"/>
      <c r="C24" s="1058" t="s">
        <v>1304</v>
      </c>
      <c r="D24" s="1059" t="s">
        <v>1305</v>
      </c>
      <c r="E24" s="1060" t="s">
        <v>1260</v>
      </c>
      <c r="F24" s="1061">
        <v>0</v>
      </c>
      <c r="G24" s="1061">
        <v>0</v>
      </c>
      <c r="H24" s="1061">
        <v>0</v>
      </c>
      <c r="I24" s="1063">
        <v>0</v>
      </c>
      <c r="J24" s="1064">
        <v>0</v>
      </c>
      <c r="K24" s="1064">
        <v>0</v>
      </c>
      <c r="L24" s="1061" t="s">
        <v>1261</v>
      </c>
      <c r="M24" s="1064" t="s">
        <v>235</v>
      </c>
      <c r="N24" s="1064" t="s">
        <v>235</v>
      </c>
      <c r="O24" s="1064" t="s">
        <v>235</v>
      </c>
      <c r="P24" s="1064" t="s">
        <v>235</v>
      </c>
      <c r="Q24" s="1065"/>
    </row>
    <row r="25" spans="1:18" ht="15">
      <c r="A25" s="1595"/>
      <c r="B25" s="1595"/>
      <c r="C25" s="1067" t="s">
        <v>1306</v>
      </c>
      <c r="D25" s="1059" t="s">
        <v>1307</v>
      </c>
      <c r="E25" s="1060" t="s">
        <v>1200</v>
      </c>
      <c r="F25" s="1061">
        <v>0</v>
      </c>
      <c r="G25" s="1061">
        <v>0</v>
      </c>
      <c r="H25" s="1061">
        <v>0</v>
      </c>
      <c r="I25" s="1063">
        <v>0</v>
      </c>
      <c r="J25" s="1064">
        <v>0</v>
      </c>
      <c r="K25" s="1064">
        <v>0</v>
      </c>
      <c r="L25" s="1061" t="s">
        <v>1261</v>
      </c>
      <c r="M25" s="1064">
        <v>14005</v>
      </c>
      <c r="N25" s="1064">
        <v>13580</v>
      </c>
      <c r="O25" s="1064">
        <v>0</v>
      </c>
      <c r="P25" s="1064">
        <v>0</v>
      </c>
      <c r="Q25" s="1065"/>
    </row>
    <row r="26" spans="1:18" ht="15">
      <c r="A26" s="1595"/>
      <c r="B26" s="1595"/>
      <c r="C26" s="1058" t="s">
        <v>1308</v>
      </c>
      <c r="D26" s="1059" t="s">
        <v>1309</v>
      </c>
      <c r="E26" s="1060" t="s">
        <v>1200</v>
      </c>
      <c r="F26" s="1061">
        <v>0</v>
      </c>
      <c r="G26" s="1061">
        <v>0</v>
      </c>
      <c r="H26" s="1061">
        <v>0</v>
      </c>
      <c r="I26" s="1063">
        <v>0</v>
      </c>
      <c r="J26" s="1064">
        <v>0</v>
      </c>
      <c r="K26" s="1064">
        <v>0</v>
      </c>
      <c r="L26" s="1061" t="s">
        <v>1261</v>
      </c>
      <c r="M26" s="1064" t="s">
        <v>235</v>
      </c>
      <c r="N26" s="1064" t="s">
        <v>235</v>
      </c>
      <c r="O26" s="1064" t="s">
        <v>235</v>
      </c>
      <c r="P26" s="1064" t="s">
        <v>235</v>
      </c>
      <c r="Q26" s="1065"/>
    </row>
    <row r="27" spans="1:18" ht="15">
      <c r="A27" s="1595"/>
      <c r="B27" s="1595"/>
      <c r="C27" s="1058" t="s">
        <v>1310</v>
      </c>
      <c r="D27" s="1059" t="s">
        <v>1311</v>
      </c>
      <c r="E27" s="1060" t="s">
        <v>1260</v>
      </c>
      <c r="F27" s="1061">
        <v>0</v>
      </c>
      <c r="G27" s="1061">
        <v>0</v>
      </c>
      <c r="H27" s="1061">
        <v>0</v>
      </c>
      <c r="I27" s="1063">
        <v>0</v>
      </c>
      <c r="J27" s="1064">
        <v>0</v>
      </c>
      <c r="K27" s="1064">
        <v>0</v>
      </c>
      <c r="L27" s="1061" t="s">
        <v>1210</v>
      </c>
      <c r="M27" s="1064" t="s">
        <v>235</v>
      </c>
      <c r="N27" s="1064" t="s">
        <v>235</v>
      </c>
      <c r="O27" s="1064" t="s">
        <v>235</v>
      </c>
      <c r="P27" s="1064" t="s">
        <v>235</v>
      </c>
      <c r="Q27" s="1065"/>
    </row>
    <row r="28" spans="1:18" ht="15">
      <c r="A28" s="1595"/>
      <c r="B28" s="1595"/>
      <c r="C28" s="1058" t="s">
        <v>1312</v>
      </c>
      <c r="D28" s="1059" t="s">
        <v>1313</v>
      </c>
      <c r="E28" s="1060" t="s">
        <v>1200</v>
      </c>
      <c r="F28" s="1061">
        <v>3299</v>
      </c>
      <c r="G28" s="1061">
        <v>609</v>
      </c>
      <c r="H28" s="1061">
        <v>308</v>
      </c>
      <c r="I28" s="1063">
        <v>147.80000000000001</v>
      </c>
      <c r="J28" s="1064">
        <v>27.85</v>
      </c>
      <c r="K28" s="1064">
        <v>14.08</v>
      </c>
      <c r="L28" s="1061"/>
      <c r="M28" s="1064">
        <v>892</v>
      </c>
      <c r="N28" s="1064">
        <v>931</v>
      </c>
      <c r="O28" s="1064">
        <v>121</v>
      </c>
      <c r="P28" s="1064">
        <v>5</v>
      </c>
      <c r="Q28" s="1065"/>
    </row>
    <row r="29" spans="1:18" ht="15">
      <c r="A29" s="1595"/>
      <c r="B29" s="1595"/>
      <c r="C29" s="1058" t="s">
        <v>1314</v>
      </c>
      <c r="D29" s="1059" t="s">
        <v>1315</v>
      </c>
      <c r="E29" s="1060" t="s">
        <v>1200</v>
      </c>
      <c r="F29" s="1061">
        <v>120074</v>
      </c>
      <c r="G29" s="1061">
        <v>18827</v>
      </c>
      <c r="H29" s="1061">
        <v>29986</v>
      </c>
      <c r="I29" s="1063">
        <v>10238.469999999999</v>
      </c>
      <c r="J29" s="1064">
        <v>1517.95</v>
      </c>
      <c r="K29" s="1064">
        <v>2256.48</v>
      </c>
      <c r="L29" s="1061" t="s">
        <v>1261</v>
      </c>
      <c r="M29" s="1064">
        <v>15858</v>
      </c>
      <c r="N29" s="1064">
        <v>13426</v>
      </c>
      <c r="O29" s="1064">
        <v>4741</v>
      </c>
      <c r="P29" s="1064">
        <v>367</v>
      </c>
      <c r="Q29" s="1065"/>
    </row>
    <row r="30" spans="1:18" ht="15">
      <c r="A30" s="1595"/>
      <c r="B30" s="1595"/>
      <c r="C30" s="1058" t="s">
        <v>1316</v>
      </c>
      <c r="D30" s="1059" t="s">
        <v>1317</v>
      </c>
      <c r="E30" s="1060" t="s">
        <v>1260</v>
      </c>
      <c r="F30" s="1061">
        <v>0</v>
      </c>
      <c r="G30" s="1061">
        <v>0</v>
      </c>
      <c r="H30" s="1061">
        <v>0</v>
      </c>
      <c r="I30" s="1063">
        <v>0</v>
      </c>
      <c r="J30" s="1064">
        <v>0</v>
      </c>
      <c r="K30" s="1064">
        <v>0</v>
      </c>
      <c r="L30" s="1061" t="s">
        <v>1261</v>
      </c>
      <c r="M30" s="1064" t="s">
        <v>235</v>
      </c>
      <c r="N30" s="1064" t="s">
        <v>235</v>
      </c>
      <c r="O30" s="1064" t="s">
        <v>235</v>
      </c>
      <c r="P30" s="1064" t="s">
        <v>235</v>
      </c>
      <c r="Q30" s="1065"/>
    </row>
    <row r="31" spans="1:18" s="1070" customFormat="1" ht="15">
      <c r="A31" s="1595"/>
      <c r="B31" s="1596"/>
      <c r="C31" s="1068" t="s">
        <v>1223</v>
      </c>
      <c r="D31" s="1068"/>
      <c r="E31" s="1069"/>
      <c r="F31" s="1069">
        <v>1618816</v>
      </c>
      <c r="G31" s="1069">
        <v>352355</v>
      </c>
      <c r="H31" s="1069">
        <v>324253</v>
      </c>
      <c r="I31" s="1069">
        <v>63032.590000000004</v>
      </c>
      <c r="J31" s="1069">
        <v>13271.400000000001</v>
      </c>
      <c r="K31" s="1069">
        <v>12594.539999999999</v>
      </c>
      <c r="L31" s="1069"/>
      <c r="M31" s="1069" t="s">
        <v>235</v>
      </c>
      <c r="N31" s="1069"/>
      <c r="O31" s="1069">
        <v>49780</v>
      </c>
      <c r="P31" s="1069">
        <v>2010</v>
      </c>
      <c r="Q31" s="1054"/>
      <c r="R31" s="1054"/>
    </row>
    <row r="32" spans="1:18" ht="15">
      <c r="A32" s="1595"/>
      <c r="B32" s="1597" t="s">
        <v>1153</v>
      </c>
      <c r="C32" s="1058" t="s">
        <v>1318</v>
      </c>
      <c r="D32" s="1059" t="s">
        <v>1319</v>
      </c>
      <c r="E32" s="1060" t="s">
        <v>1260</v>
      </c>
      <c r="F32" s="1061">
        <v>16</v>
      </c>
      <c r="G32" s="1061">
        <v>0</v>
      </c>
      <c r="H32" s="1061">
        <v>0</v>
      </c>
      <c r="I32" s="1063">
        <v>0.68</v>
      </c>
      <c r="J32" s="1064">
        <v>0</v>
      </c>
      <c r="K32" s="1064">
        <v>0</v>
      </c>
      <c r="L32" s="1061" t="s">
        <v>1210</v>
      </c>
      <c r="M32" s="1064">
        <v>43470</v>
      </c>
      <c r="N32" s="1064">
        <v>42180</v>
      </c>
      <c r="O32" s="1064">
        <v>0</v>
      </c>
      <c r="P32" s="1064">
        <v>0</v>
      </c>
    </row>
    <row r="33" spans="1:18" s="1070" customFormat="1" ht="15">
      <c r="A33" s="1595"/>
      <c r="B33" s="1598"/>
      <c r="C33" s="1068" t="s">
        <v>1320</v>
      </c>
      <c r="D33" s="1068"/>
      <c r="E33" s="1071"/>
      <c r="F33" s="1071">
        <v>16</v>
      </c>
      <c r="G33" s="1069">
        <v>0</v>
      </c>
      <c r="H33" s="1069">
        <v>0</v>
      </c>
      <c r="I33" s="1071">
        <v>0.68</v>
      </c>
      <c r="J33" s="1071">
        <v>0</v>
      </c>
      <c r="K33" s="1071">
        <v>0</v>
      </c>
      <c r="L33" s="1072"/>
      <c r="M33" s="1071"/>
      <c r="N33" s="1071"/>
      <c r="O33" s="1071">
        <v>0</v>
      </c>
      <c r="P33" s="1071">
        <v>0</v>
      </c>
      <c r="Q33" s="1054"/>
      <c r="R33" s="1054"/>
    </row>
    <row r="34" spans="1:18" ht="15">
      <c r="A34" s="1595"/>
      <c r="B34" s="1597" t="s">
        <v>1321</v>
      </c>
      <c r="C34" s="1073" t="s">
        <v>1322</v>
      </c>
      <c r="D34" s="1059" t="s">
        <v>1322</v>
      </c>
      <c r="E34" s="1074" t="s">
        <v>1323</v>
      </c>
      <c r="F34" s="1061">
        <v>0</v>
      </c>
      <c r="G34" s="1061">
        <v>0</v>
      </c>
      <c r="H34" s="1061">
        <v>0</v>
      </c>
      <c r="I34" s="1063">
        <v>0</v>
      </c>
      <c r="J34" s="1064">
        <v>0</v>
      </c>
      <c r="K34" s="1064">
        <v>0</v>
      </c>
      <c r="L34" s="1075" t="s">
        <v>1236</v>
      </c>
      <c r="M34" s="1064">
        <v>0</v>
      </c>
      <c r="N34" s="1064">
        <v>0</v>
      </c>
      <c r="O34" s="1064">
        <v>0</v>
      </c>
      <c r="P34" s="1064">
        <v>0</v>
      </c>
    </row>
    <row r="35" spans="1:18" ht="15">
      <c r="A35" s="1595"/>
      <c r="B35" s="1599"/>
      <c r="C35" s="1059" t="s">
        <v>1324</v>
      </c>
      <c r="D35" s="1059" t="s">
        <v>1324</v>
      </c>
      <c r="E35" s="1074" t="s">
        <v>1323</v>
      </c>
      <c r="F35" s="1061">
        <v>0</v>
      </c>
      <c r="G35" s="1061">
        <v>0</v>
      </c>
      <c r="H35" s="1061">
        <v>0</v>
      </c>
      <c r="I35" s="1063">
        <v>0</v>
      </c>
      <c r="J35" s="1064">
        <v>0</v>
      </c>
      <c r="K35" s="1064">
        <v>0</v>
      </c>
      <c r="L35" s="1075" t="s">
        <v>1236</v>
      </c>
      <c r="M35" s="1064">
        <v>0</v>
      </c>
      <c r="N35" s="1064">
        <v>0</v>
      </c>
      <c r="O35" s="1064">
        <v>0</v>
      </c>
      <c r="P35" s="1064">
        <v>0</v>
      </c>
    </row>
    <row r="36" spans="1:18" ht="15">
      <c r="A36" s="1595"/>
      <c r="B36" s="1599"/>
      <c r="C36" s="1059" t="s">
        <v>1325</v>
      </c>
      <c r="D36" s="1059" t="s">
        <v>1325</v>
      </c>
      <c r="E36" s="1074" t="s">
        <v>1323</v>
      </c>
      <c r="F36" s="1061">
        <v>0</v>
      </c>
      <c r="G36" s="1061">
        <v>0</v>
      </c>
      <c r="H36" s="1061">
        <v>0</v>
      </c>
      <c r="I36" s="1063">
        <v>0</v>
      </c>
      <c r="J36" s="1064">
        <v>0</v>
      </c>
      <c r="K36" s="1064">
        <v>0</v>
      </c>
      <c r="L36" s="1075" t="s">
        <v>1236</v>
      </c>
      <c r="M36" s="1064">
        <v>0</v>
      </c>
      <c r="N36" s="1064">
        <v>0</v>
      </c>
      <c r="O36" s="1064">
        <v>0</v>
      </c>
      <c r="P36" s="1064">
        <v>0</v>
      </c>
    </row>
    <row r="37" spans="1:18" s="1070" customFormat="1" ht="15">
      <c r="A37" s="1595"/>
      <c r="B37" s="1598"/>
      <c r="C37" s="1068" t="s">
        <v>1326</v>
      </c>
      <c r="D37" s="1068"/>
      <c r="E37" s="1071"/>
      <c r="F37" s="1071">
        <v>0</v>
      </c>
      <c r="G37" s="1069">
        <v>0</v>
      </c>
      <c r="H37" s="1069">
        <v>0</v>
      </c>
      <c r="I37" s="1069">
        <v>0</v>
      </c>
      <c r="J37" s="1069">
        <v>0</v>
      </c>
      <c r="K37" s="1069">
        <v>0</v>
      </c>
      <c r="L37" s="1069"/>
      <c r="M37" s="1069"/>
      <c r="N37" s="1069"/>
      <c r="O37" s="1069">
        <v>0</v>
      </c>
      <c r="P37" s="1069">
        <v>0</v>
      </c>
      <c r="Q37" s="1054"/>
      <c r="R37" s="1054"/>
    </row>
    <row r="38" spans="1:18" s="1070" customFormat="1" ht="45">
      <c r="A38" s="1596"/>
      <c r="B38" s="1076" t="s">
        <v>1327</v>
      </c>
      <c r="C38" s="1068" t="s">
        <v>1327</v>
      </c>
      <c r="D38" s="1068"/>
      <c r="E38" s="1069"/>
      <c r="F38" s="1069">
        <v>1618832</v>
      </c>
      <c r="G38" s="1069">
        <v>352355</v>
      </c>
      <c r="H38" s="1069">
        <v>324253</v>
      </c>
      <c r="I38" s="1069">
        <v>63033.270000000004</v>
      </c>
      <c r="J38" s="1069">
        <v>13271.400000000001</v>
      </c>
      <c r="K38" s="1069">
        <v>12594.539999999999</v>
      </c>
      <c r="L38" s="1069"/>
      <c r="M38" s="1069"/>
      <c r="N38" s="1069"/>
      <c r="O38" s="1069">
        <v>49629</v>
      </c>
      <c r="P38" s="1069">
        <v>2167</v>
      </c>
      <c r="Q38" s="1054"/>
      <c r="R38" s="1054"/>
    </row>
    <row r="39" spans="1:18" ht="15">
      <c r="A39" s="1600" t="s">
        <v>1328</v>
      </c>
      <c r="B39" s="1597" t="s">
        <v>1329</v>
      </c>
      <c r="C39" s="1067" t="s">
        <v>1269</v>
      </c>
      <c r="D39" s="1059" t="s">
        <v>1270</v>
      </c>
      <c r="E39" s="1060" t="s">
        <v>1260</v>
      </c>
      <c r="F39" s="1061">
        <v>0</v>
      </c>
      <c r="G39" s="1077">
        <v>0</v>
      </c>
      <c r="H39" s="1077">
        <v>0</v>
      </c>
      <c r="I39" s="1063">
        <v>0</v>
      </c>
      <c r="J39" s="1064">
        <v>0</v>
      </c>
      <c r="K39" s="1064">
        <v>0</v>
      </c>
      <c r="L39" s="1061" t="s">
        <v>1261</v>
      </c>
      <c r="M39" s="1064"/>
      <c r="N39" s="1064"/>
      <c r="O39" s="1064" t="s">
        <v>235</v>
      </c>
      <c r="P39" s="1064">
        <v>0</v>
      </c>
    </row>
    <row r="40" spans="1:18" ht="15">
      <c r="A40" s="1595"/>
      <c r="B40" s="1599"/>
      <c r="C40" s="1058" t="s">
        <v>1275</v>
      </c>
      <c r="D40" s="1059" t="s">
        <v>1275</v>
      </c>
      <c r="E40" s="1060" t="s">
        <v>1200</v>
      </c>
      <c r="F40" s="1061">
        <v>0</v>
      </c>
      <c r="G40" s="1077">
        <v>0</v>
      </c>
      <c r="H40" s="1077">
        <v>0</v>
      </c>
      <c r="I40" s="1063">
        <v>0</v>
      </c>
      <c r="J40" s="1064">
        <v>0</v>
      </c>
      <c r="K40" s="1064">
        <v>0</v>
      </c>
      <c r="L40" s="1061" t="s">
        <v>1261</v>
      </c>
      <c r="M40" s="1064"/>
      <c r="N40" s="1064"/>
      <c r="O40" s="1064" t="s">
        <v>235</v>
      </c>
      <c r="P40" s="1064">
        <v>0</v>
      </c>
    </row>
    <row r="41" spans="1:18" ht="15">
      <c r="A41" s="1595"/>
      <c r="B41" s="1599"/>
      <c r="C41" s="1058" t="s">
        <v>1284</v>
      </c>
      <c r="D41" s="1059" t="s">
        <v>1285</v>
      </c>
      <c r="E41" s="1060" t="s">
        <v>1200</v>
      </c>
      <c r="F41" s="1061">
        <v>0</v>
      </c>
      <c r="G41" s="1077">
        <v>0</v>
      </c>
      <c r="H41" s="1077">
        <v>0</v>
      </c>
      <c r="I41" s="1063">
        <v>0</v>
      </c>
      <c r="J41" s="1064">
        <v>0</v>
      </c>
      <c r="K41" s="1064">
        <v>0</v>
      </c>
      <c r="L41" s="1061" t="s">
        <v>1261</v>
      </c>
      <c r="M41" s="1064"/>
      <c r="N41" s="1064"/>
      <c r="O41" s="1064" t="s">
        <v>235</v>
      </c>
      <c r="P41" s="1064">
        <v>0</v>
      </c>
    </row>
    <row r="42" spans="1:18" ht="15">
      <c r="A42" s="1595"/>
      <c r="B42" s="1599"/>
      <c r="C42" s="1058" t="s">
        <v>1330</v>
      </c>
      <c r="D42" s="1059" t="s">
        <v>1283</v>
      </c>
      <c r="E42" s="1060" t="s">
        <v>1200</v>
      </c>
      <c r="F42" s="1061">
        <v>193.36</v>
      </c>
      <c r="G42" s="1077">
        <v>73.47</v>
      </c>
      <c r="H42" s="1077">
        <v>119.24</v>
      </c>
      <c r="I42" s="1063">
        <v>1064.8</v>
      </c>
      <c r="J42" s="1064">
        <v>412.87</v>
      </c>
      <c r="K42" s="1064">
        <v>648.41</v>
      </c>
      <c r="L42" s="1061" t="s">
        <v>1261</v>
      </c>
      <c r="M42" s="1064"/>
      <c r="N42" s="1064"/>
      <c r="O42" s="1064">
        <v>1633</v>
      </c>
      <c r="P42" s="1064">
        <v>1</v>
      </c>
    </row>
    <row r="43" spans="1:18" ht="15">
      <c r="A43" s="1595"/>
      <c r="B43" s="1599"/>
      <c r="C43" s="1058" t="s">
        <v>1295</v>
      </c>
      <c r="D43" s="1059" t="s">
        <v>1297</v>
      </c>
      <c r="E43" s="1060" t="s">
        <v>1294</v>
      </c>
      <c r="F43" s="1061">
        <v>0</v>
      </c>
      <c r="G43" s="1077">
        <v>0</v>
      </c>
      <c r="H43" s="1077">
        <v>0</v>
      </c>
      <c r="I43" s="1063">
        <v>0</v>
      </c>
      <c r="J43" s="1064">
        <v>0</v>
      </c>
      <c r="K43" s="1064">
        <v>0</v>
      </c>
      <c r="L43" s="1061" t="s">
        <v>1261</v>
      </c>
      <c r="M43" s="1064"/>
      <c r="N43" s="1064"/>
      <c r="O43" s="1064" t="s">
        <v>235</v>
      </c>
      <c r="P43" s="1064">
        <v>0</v>
      </c>
    </row>
    <row r="44" spans="1:18" ht="15">
      <c r="A44" s="1595"/>
      <c r="B44" s="1599"/>
      <c r="C44" s="1058" t="s">
        <v>1331</v>
      </c>
      <c r="D44" s="1059" t="s">
        <v>1309</v>
      </c>
      <c r="E44" s="1060" t="s">
        <v>1200</v>
      </c>
      <c r="F44" s="1061">
        <v>0</v>
      </c>
      <c r="G44" s="1077">
        <v>0</v>
      </c>
      <c r="H44" s="1077">
        <v>0</v>
      </c>
      <c r="I44" s="1063">
        <v>0</v>
      </c>
      <c r="J44" s="1064">
        <v>0</v>
      </c>
      <c r="K44" s="1064">
        <v>0</v>
      </c>
      <c r="L44" s="1061" t="s">
        <v>1261</v>
      </c>
      <c r="M44" s="1064"/>
      <c r="N44" s="1064"/>
      <c r="O44" s="1064" t="s">
        <v>235</v>
      </c>
      <c r="P44" s="1064">
        <v>0</v>
      </c>
    </row>
    <row r="45" spans="1:18" ht="15">
      <c r="A45" s="1595"/>
      <c r="B45" s="1599"/>
      <c r="C45" s="1058" t="s">
        <v>1300</v>
      </c>
      <c r="D45" s="1059" t="s">
        <v>1301</v>
      </c>
      <c r="E45" s="1060" t="s">
        <v>1260</v>
      </c>
      <c r="F45" s="1061">
        <v>0</v>
      </c>
      <c r="G45" s="1077">
        <v>0</v>
      </c>
      <c r="H45" s="1077">
        <v>0</v>
      </c>
      <c r="I45" s="1063">
        <v>0</v>
      </c>
      <c r="J45" s="1064">
        <v>0</v>
      </c>
      <c r="K45" s="1064">
        <v>0</v>
      </c>
      <c r="L45" s="1061" t="s">
        <v>1261</v>
      </c>
      <c r="M45" s="1064"/>
      <c r="N45" s="1064"/>
      <c r="O45" s="1064" t="s">
        <v>235</v>
      </c>
      <c r="P45" s="1064">
        <v>0</v>
      </c>
    </row>
    <row r="46" spans="1:18" ht="15">
      <c r="A46" s="1595"/>
      <c r="B46" s="1599"/>
      <c r="C46" s="1058" t="s">
        <v>1332</v>
      </c>
      <c r="D46" s="1059" t="s">
        <v>1305</v>
      </c>
      <c r="E46" s="1060" t="s">
        <v>1260</v>
      </c>
      <c r="F46" s="1061">
        <v>0</v>
      </c>
      <c r="G46" s="1077">
        <v>0</v>
      </c>
      <c r="H46" s="1077">
        <v>0</v>
      </c>
      <c r="I46" s="1063">
        <v>0</v>
      </c>
      <c r="J46" s="1064">
        <v>0</v>
      </c>
      <c r="K46" s="1064">
        <v>0</v>
      </c>
      <c r="L46" s="1061" t="s">
        <v>1261</v>
      </c>
      <c r="M46" s="1064"/>
      <c r="N46" s="1064"/>
      <c r="O46" s="1064" t="s">
        <v>235</v>
      </c>
      <c r="P46" s="1064">
        <v>0</v>
      </c>
    </row>
    <row r="47" spans="1:18" ht="15">
      <c r="A47" s="1595"/>
      <c r="B47" s="1599"/>
      <c r="C47" s="1058" t="s">
        <v>1316</v>
      </c>
      <c r="D47" s="1059" t="s">
        <v>1317</v>
      </c>
      <c r="E47" s="1060" t="s">
        <v>1260</v>
      </c>
      <c r="F47" s="1061">
        <v>0</v>
      </c>
      <c r="G47" s="1077">
        <v>0</v>
      </c>
      <c r="H47" s="1077">
        <v>0</v>
      </c>
      <c r="I47" s="1063">
        <v>0</v>
      </c>
      <c r="J47" s="1064">
        <v>0</v>
      </c>
      <c r="K47" s="1064">
        <v>0</v>
      </c>
      <c r="L47" s="1061" t="s">
        <v>1261</v>
      </c>
      <c r="M47" s="1064"/>
      <c r="N47" s="1064"/>
      <c r="O47" s="1064" t="s">
        <v>235</v>
      </c>
      <c r="P47" s="1064">
        <v>0</v>
      </c>
    </row>
    <row r="48" spans="1:18" ht="15">
      <c r="A48" s="1595"/>
      <c r="B48" s="1598"/>
      <c r="C48" s="1058" t="s">
        <v>1314</v>
      </c>
      <c r="D48" s="1059" t="s">
        <v>1315</v>
      </c>
      <c r="E48" s="1060" t="s">
        <v>1200</v>
      </c>
      <c r="F48" s="1061">
        <v>0</v>
      </c>
      <c r="G48" s="1077">
        <v>0</v>
      </c>
      <c r="H48" s="1077">
        <v>0</v>
      </c>
      <c r="I48" s="1063">
        <v>0</v>
      </c>
      <c r="J48" s="1064">
        <v>0</v>
      </c>
      <c r="K48" s="1064">
        <v>0</v>
      </c>
      <c r="L48" s="1061" t="s">
        <v>1261</v>
      </c>
      <c r="M48" s="1064"/>
      <c r="N48" s="1064"/>
      <c r="O48" s="1064" t="s">
        <v>235</v>
      </c>
      <c r="P48" s="1064">
        <v>0</v>
      </c>
    </row>
    <row r="49" spans="1:17" s="1070" customFormat="1" ht="45">
      <c r="A49" s="1596"/>
      <c r="B49" s="1076" t="s">
        <v>1333</v>
      </c>
      <c r="C49" s="1068" t="s">
        <v>1333</v>
      </c>
      <c r="D49" s="1068"/>
      <c r="E49" s="1069"/>
      <c r="F49" s="1078">
        <v>193.36</v>
      </c>
      <c r="G49" s="1078">
        <v>73.47</v>
      </c>
      <c r="H49" s="1078">
        <v>119.24</v>
      </c>
      <c r="I49" s="1078">
        <v>1064.8</v>
      </c>
      <c r="J49" s="1078">
        <v>412.87</v>
      </c>
      <c r="K49" s="1078">
        <v>648.41</v>
      </c>
      <c r="L49" s="1069"/>
      <c r="M49" s="1069"/>
      <c r="N49" s="1069"/>
      <c r="O49" s="1069">
        <f>SUM(O39:O48)</f>
        <v>1633</v>
      </c>
      <c r="P49" s="1069">
        <v>0</v>
      </c>
      <c r="Q49" s="1054"/>
    </row>
    <row r="50" spans="1:17" ht="15">
      <c r="A50" s="904" t="str">
        <f>"$ indicates as on "&amp;TEXT([6]Sheet1!$B$2,"MMM DD, YYYY")</f>
        <v>$ indicates as on Aug 31, 2024</v>
      </c>
      <c r="B50" s="1079"/>
      <c r="C50" s="1080"/>
      <c r="D50" s="1080"/>
      <c r="E50" s="1080"/>
      <c r="F50" s="1080"/>
      <c r="G50" s="1080"/>
      <c r="H50" s="1080"/>
      <c r="I50" s="1080"/>
      <c r="J50" s="1080"/>
      <c r="K50" s="1080"/>
      <c r="L50" s="1080"/>
      <c r="M50" s="1080"/>
      <c r="N50" s="1080"/>
      <c r="O50" s="1079"/>
      <c r="P50" s="1079"/>
    </row>
    <row r="51" spans="1:17" ht="15">
      <c r="A51" s="1079" t="s">
        <v>1334</v>
      </c>
      <c r="B51" s="1079"/>
      <c r="C51" s="1080"/>
      <c r="D51" s="1080"/>
      <c r="E51" s="1080"/>
      <c r="F51" s="1080"/>
      <c r="G51" s="1080"/>
      <c r="H51" s="1080"/>
      <c r="I51" s="1080"/>
      <c r="J51" s="1080"/>
      <c r="K51" s="1080"/>
      <c r="L51" s="1080"/>
      <c r="M51" s="1080"/>
      <c r="N51" s="1080"/>
      <c r="O51" s="1079"/>
      <c r="P51" s="1079"/>
    </row>
    <row r="52" spans="1:17" ht="15">
      <c r="A52" s="1079" t="s">
        <v>1335</v>
      </c>
      <c r="B52" s="1079"/>
      <c r="C52" s="1079"/>
      <c r="D52" s="1079"/>
      <c r="E52" s="1079"/>
      <c r="F52" s="1079"/>
      <c r="G52" s="1079"/>
      <c r="H52" s="1079"/>
      <c r="I52" s="1080"/>
      <c r="J52" s="1079"/>
      <c r="K52" s="1079"/>
      <c r="L52" s="1079"/>
      <c r="M52" s="1079"/>
      <c r="N52" s="1079"/>
      <c r="O52" s="1079"/>
      <c r="P52" s="1079"/>
    </row>
    <row r="53" spans="1:17" ht="15">
      <c r="A53" s="1080" t="s">
        <v>1143</v>
      </c>
      <c r="B53" s="1079"/>
      <c r="C53" s="1079"/>
      <c r="D53" s="1079"/>
      <c r="E53" s="1079"/>
      <c r="F53" s="1079"/>
      <c r="G53" s="1079"/>
      <c r="H53" s="1079"/>
      <c r="I53" s="1080"/>
      <c r="J53" s="1079"/>
      <c r="K53" s="1079"/>
      <c r="L53" s="1079"/>
      <c r="M53" s="1079"/>
      <c r="N53" s="1079"/>
      <c r="O53" s="1079"/>
      <c r="P53" s="1079"/>
      <c r="Q53" s="1081"/>
    </row>
  </sheetData>
  <mergeCells count="17">
    <mergeCell ref="A1:P1"/>
    <mergeCell ref="A2:A3"/>
    <mergeCell ref="B2:B3"/>
    <mergeCell ref="C2:C3"/>
    <mergeCell ref="D2:D3"/>
    <mergeCell ref="E2:E3"/>
    <mergeCell ref="F2:H2"/>
    <mergeCell ref="I2:K2"/>
    <mergeCell ref="L2:L3"/>
    <mergeCell ref="M2:N2"/>
    <mergeCell ref="O2:P2"/>
    <mergeCell ref="B4:B31"/>
    <mergeCell ref="B32:B33"/>
    <mergeCell ref="B34:B37"/>
    <mergeCell ref="A39:A49"/>
    <mergeCell ref="B39:B48"/>
    <mergeCell ref="A4:A38"/>
  </mergeCells>
  <printOptions horizontalCentered="1"/>
  <pageMargins left="0.7" right="0.7" top="0.75" bottom="0.75" header="0.3" footer="0.3"/>
  <pageSetup paperSize="9" scale="75" fitToHeight="0" orientation="landscape" r:id="rId1"/>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B157"/>
  <sheetViews>
    <sheetView workbookViewId="0">
      <selection sqref="A1:O1"/>
    </sheetView>
  </sheetViews>
  <sheetFormatPr defaultColWidth="9.140625" defaultRowHeight="12.75"/>
  <cols>
    <col min="1" max="1" width="8.5703125" style="1140" customWidth="1"/>
    <col min="2" max="2" width="17.42578125" style="1133" bestFit="1" customWidth="1"/>
    <col min="3" max="3" width="27.7109375" style="1010" customWidth="1"/>
    <col min="4" max="4" width="12.5703125" style="1010" customWidth="1"/>
    <col min="5" max="5" width="8.7109375" style="1141" customWidth="1"/>
    <col min="6" max="7" width="8.7109375" style="1010" customWidth="1"/>
    <col min="8" max="9" width="9.140625" style="1010" customWidth="1"/>
    <col min="10" max="10" width="8.7109375" style="1010" customWidth="1"/>
    <col min="11" max="11" width="12.7109375" style="1138" customWidth="1"/>
    <col min="12" max="13" width="8.28515625" style="1010" customWidth="1"/>
    <col min="14" max="14" width="9.42578125" style="1010" customWidth="1"/>
    <col min="15" max="15" width="9.85546875" style="1010" customWidth="1"/>
    <col min="16" max="16384" width="9.140625" style="1010"/>
  </cols>
  <sheetData>
    <row r="1" spans="1:54" ht="20.25" customHeight="1">
      <c r="A1" s="1614" t="s">
        <v>1336</v>
      </c>
      <c r="B1" s="1614"/>
      <c r="C1" s="1614"/>
      <c r="D1" s="1614"/>
      <c r="E1" s="1614"/>
      <c r="F1" s="1614"/>
      <c r="G1" s="1614"/>
      <c r="H1" s="1614"/>
      <c r="I1" s="1614"/>
      <c r="J1" s="1614"/>
      <c r="K1" s="1614"/>
      <c r="L1" s="1614"/>
      <c r="M1" s="1614"/>
      <c r="N1" s="1614"/>
      <c r="O1" s="1614"/>
    </row>
    <row r="2" spans="1:54">
      <c r="A2" s="1615" t="s">
        <v>1337</v>
      </c>
      <c r="B2" s="1615" t="s">
        <v>1248</v>
      </c>
      <c r="C2" s="1616" t="s">
        <v>1249</v>
      </c>
      <c r="D2" s="1616" t="s">
        <v>1251</v>
      </c>
      <c r="E2" s="1618" t="s">
        <v>515</v>
      </c>
      <c r="F2" s="1619"/>
      <c r="G2" s="1620"/>
      <c r="H2" s="1615" t="s">
        <v>234</v>
      </c>
      <c r="I2" s="1615"/>
      <c r="J2" s="1615"/>
      <c r="K2" s="1615" t="s">
        <v>1252</v>
      </c>
      <c r="L2" s="1615" t="s">
        <v>1174</v>
      </c>
      <c r="M2" s="1615"/>
      <c r="N2" s="1615" t="s">
        <v>1253</v>
      </c>
      <c r="O2" s="1615"/>
    </row>
    <row r="3" spans="1:54" ht="38.25">
      <c r="A3" s="1615"/>
      <c r="B3" s="1615"/>
      <c r="C3" s="1617"/>
      <c r="D3" s="1617"/>
      <c r="E3" s="1082" t="s">
        <v>743</v>
      </c>
      <c r="F3" s="1082">
        <v>45474</v>
      </c>
      <c r="G3" s="1082">
        <v>45505</v>
      </c>
      <c r="H3" s="1082" t="s">
        <v>743</v>
      </c>
      <c r="I3" s="1082">
        <v>45474</v>
      </c>
      <c r="J3" s="1082">
        <v>45505</v>
      </c>
      <c r="K3" s="1615"/>
      <c r="L3" s="1082">
        <v>45474</v>
      </c>
      <c r="M3" s="1082">
        <v>45505</v>
      </c>
      <c r="N3" s="1082" t="s">
        <v>514</v>
      </c>
      <c r="O3" s="1082" t="s">
        <v>1338</v>
      </c>
    </row>
    <row r="4" spans="1:54" s="1090" customFormat="1">
      <c r="A4" s="1608" t="s">
        <v>1339</v>
      </c>
      <c r="B4" s="1608" t="s">
        <v>1114</v>
      </c>
      <c r="C4" s="1083" t="s">
        <v>1179</v>
      </c>
      <c r="D4" s="1083" t="s">
        <v>1340</v>
      </c>
      <c r="E4" s="1084">
        <v>0</v>
      </c>
      <c r="F4" s="1085" t="s">
        <v>235</v>
      </c>
      <c r="G4" s="1085"/>
      <c r="H4" s="1086">
        <v>0</v>
      </c>
      <c r="I4" s="1086" t="s">
        <v>235</v>
      </c>
      <c r="J4" s="1086"/>
      <c r="K4" s="1087" t="s">
        <v>1181</v>
      </c>
      <c r="L4" s="1088">
        <v>69012</v>
      </c>
      <c r="M4" s="1088">
        <v>71655</v>
      </c>
      <c r="N4" s="1089">
        <v>0</v>
      </c>
      <c r="O4" s="1089">
        <v>0</v>
      </c>
      <c r="P4" s="1010"/>
      <c r="Q4" s="1010"/>
      <c r="R4" s="1010"/>
      <c r="S4" s="1010"/>
      <c r="T4" s="1010"/>
      <c r="U4" s="1010"/>
      <c r="V4" s="1010"/>
      <c r="W4" s="1010"/>
      <c r="X4" s="1010"/>
      <c r="Y4" s="1010"/>
      <c r="Z4" s="1010"/>
      <c r="AA4" s="1010"/>
      <c r="AB4" s="1010"/>
      <c r="AC4" s="1010"/>
      <c r="AD4" s="1010"/>
      <c r="AE4" s="1010"/>
      <c r="AF4" s="1010"/>
      <c r="AG4" s="1010"/>
      <c r="AH4" s="1010"/>
      <c r="AI4" s="1010"/>
      <c r="AJ4" s="1010"/>
      <c r="AK4" s="1010"/>
      <c r="AL4" s="1010"/>
      <c r="AM4" s="1010"/>
      <c r="AN4" s="1010"/>
      <c r="AO4" s="1010"/>
      <c r="AP4" s="1010"/>
      <c r="AQ4" s="1010"/>
      <c r="AR4" s="1010"/>
      <c r="AS4" s="1010"/>
      <c r="AT4" s="1010"/>
      <c r="AU4" s="1010"/>
      <c r="AV4" s="1010"/>
      <c r="AW4" s="1010"/>
      <c r="AX4" s="1010"/>
      <c r="AY4" s="1010"/>
      <c r="AZ4" s="1010"/>
      <c r="BA4" s="1010"/>
      <c r="BB4" s="1010"/>
    </row>
    <row r="5" spans="1:54" s="1090" customFormat="1">
      <c r="A5" s="1610"/>
      <c r="B5" s="1613"/>
      <c r="C5" s="1083" t="s">
        <v>1190</v>
      </c>
      <c r="D5" s="1083" t="s">
        <v>1341</v>
      </c>
      <c r="E5" s="1084">
        <v>10</v>
      </c>
      <c r="F5" s="1085" t="s">
        <v>235</v>
      </c>
      <c r="G5" s="1085">
        <v>10</v>
      </c>
      <c r="H5" s="1086">
        <v>2.5449809999999999</v>
      </c>
      <c r="I5" s="1086" t="s">
        <v>235</v>
      </c>
      <c r="J5" s="1086">
        <v>2.5449809999999999</v>
      </c>
      <c r="K5" s="1087" t="s">
        <v>1192</v>
      </c>
      <c r="L5" s="1088">
        <v>82871</v>
      </c>
      <c r="M5" s="1088">
        <v>83285</v>
      </c>
      <c r="N5" s="1089">
        <v>0.25</v>
      </c>
      <c r="O5" s="1089">
        <v>6.3647250000000002E-2</v>
      </c>
      <c r="P5" s="1010"/>
      <c r="Q5" s="1010"/>
      <c r="R5" s="1010"/>
      <c r="S5" s="1010"/>
      <c r="T5" s="1010"/>
      <c r="U5" s="1010"/>
      <c r="V5" s="1010"/>
      <c r="W5" s="1010"/>
      <c r="X5" s="1010"/>
      <c r="Y5" s="1010"/>
      <c r="Z5" s="1010"/>
      <c r="AA5" s="1010"/>
      <c r="AB5" s="1010"/>
      <c r="AC5" s="1010"/>
      <c r="AD5" s="1010"/>
      <c r="AE5" s="1010"/>
      <c r="AF5" s="1010"/>
      <c r="AG5" s="1010"/>
      <c r="AH5" s="1010"/>
      <c r="AI5" s="1010"/>
      <c r="AJ5" s="1010"/>
      <c r="AK5" s="1010"/>
      <c r="AL5" s="1010"/>
      <c r="AM5" s="1010"/>
      <c r="AN5" s="1010"/>
      <c r="AO5" s="1010"/>
      <c r="AP5" s="1010"/>
      <c r="AQ5" s="1010"/>
      <c r="AR5" s="1010"/>
      <c r="AS5" s="1010"/>
      <c r="AT5" s="1010"/>
      <c r="AU5" s="1010"/>
      <c r="AV5" s="1010"/>
      <c r="AW5" s="1010"/>
      <c r="AX5" s="1010"/>
      <c r="AY5" s="1010"/>
      <c r="AZ5" s="1010"/>
      <c r="BA5" s="1010"/>
      <c r="BB5" s="1010"/>
    </row>
    <row r="6" spans="1:54" s="1090" customFormat="1">
      <c r="A6" s="1610"/>
      <c r="B6" s="1613"/>
      <c r="C6" s="1083" t="s">
        <v>1342</v>
      </c>
      <c r="D6" s="1083" t="s">
        <v>1343</v>
      </c>
      <c r="E6" s="1084">
        <v>0</v>
      </c>
      <c r="F6" s="1085" t="s">
        <v>235</v>
      </c>
      <c r="G6" s="1085"/>
      <c r="H6" s="1091">
        <v>0</v>
      </c>
      <c r="I6" s="1091" t="s">
        <v>235</v>
      </c>
      <c r="J6" s="1091"/>
      <c r="K6" s="1087" t="s">
        <v>1181</v>
      </c>
      <c r="L6" s="1088">
        <v>69083</v>
      </c>
      <c r="M6" s="1088">
        <v>71195</v>
      </c>
      <c r="N6" s="1089">
        <v>0</v>
      </c>
      <c r="O6" s="1089">
        <v>0</v>
      </c>
      <c r="P6" s="1010"/>
      <c r="Q6" s="1010"/>
      <c r="R6" s="1010"/>
      <c r="S6" s="1010"/>
      <c r="T6" s="1010"/>
      <c r="U6" s="1010"/>
      <c r="V6" s="1010"/>
      <c r="W6" s="1010"/>
      <c r="X6" s="1010"/>
      <c r="Y6" s="1010"/>
      <c r="Z6" s="1010"/>
      <c r="AA6" s="1010"/>
      <c r="AB6" s="1010"/>
      <c r="AC6" s="1010"/>
      <c r="AD6" s="1010"/>
      <c r="AE6" s="1010"/>
      <c r="AF6" s="1010"/>
      <c r="AG6" s="1010"/>
      <c r="AH6" s="1010"/>
      <c r="AI6" s="1010"/>
      <c r="AJ6" s="1010"/>
      <c r="AK6" s="1010"/>
      <c r="AL6" s="1010"/>
      <c r="AM6" s="1010"/>
      <c r="AN6" s="1010"/>
      <c r="AO6" s="1010"/>
      <c r="AP6" s="1010"/>
      <c r="AQ6" s="1010"/>
      <c r="AR6" s="1010"/>
      <c r="AS6" s="1010"/>
      <c r="AT6" s="1010"/>
      <c r="AU6" s="1010"/>
      <c r="AV6" s="1010"/>
      <c r="AW6" s="1010"/>
      <c r="AX6" s="1010"/>
      <c r="AY6" s="1010"/>
      <c r="AZ6" s="1010"/>
      <c r="BA6" s="1010"/>
      <c r="BB6" s="1010"/>
    </row>
    <row r="7" spans="1:54" s="1090" customFormat="1">
      <c r="A7" s="1610"/>
      <c r="B7" s="1613"/>
      <c r="C7" s="1083" t="s">
        <v>1344</v>
      </c>
      <c r="D7" s="1083" t="s">
        <v>1345</v>
      </c>
      <c r="E7" s="1084">
        <v>0</v>
      </c>
      <c r="F7" s="1085" t="s">
        <v>235</v>
      </c>
      <c r="G7" s="1085"/>
      <c r="H7" s="1086">
        <v>0</v>
      </c>
      <c r="I7" s="1086" t="s">
        <v>235</v>
      </c>
      <c r="J7" s="1086"/>
      <c r="K7" s="1087" t="s">
        <v>1192</v>
      </c>
      <c r="L7" s="1088">
        <v>81988</v>
      </c>
      <c r="M7" s="1088">
        <v>84813</v>
      </c>
      <c r="N7" s="1089">
        <v>0</v>
      </c>
      <c r="O7" s="1089">
        <v>0</v>
      </c>
      <c r="P7" s="1010"/>
      <c r="Q7" s="1010"/>
      <c r="R7" s="1010"/>
      <c r="S7" s="1010"/>
      <c r="T7" s="1010"/>
      <c r="U7" s="1010"/>
      <c r="V7" s="1010"/>
      <c r="W7" s="1010"/>
      <c r="X7" s="1010"/>
      <c r="Y7" s="1010"/>
      <c r="Z7" s="1010"/>
      <c r="AA7" s="1010"/>
      <c r="AB7" s="1010"/>
      <c r="AC7" s="1010"/>
      <c r="AD7" s="1010"/>
      <c r="AE7" s="1010"/>
      <c r="AF7" s="1010"/>
      <c r="AG7" s="1010"/>
      <c r="AH7" s="1010"/>
      <c r="AI7" s="1010"/>
      <c r="AJ7" s="1010"/>
      <c r="AK7" s="1010"/>
      <c r="AL7" s="1010"/>
      <c r="AM7" s="1010"/>
      <c r="AN7" s="1010"/>
      <c r="AO7" s="1010"/>
      <c r="AP7" s="1010"/>
      <c r="AQ7" s="1010"/>
      <c r="AR7" s="1010"/>
      <c r="AS7" s="1010"/>
      <c r="AT7" s="1010"/>
      <c r="AU7" s="1010"/>
      <c r="AV7" s="1010"/>
      <c r="AW7" s="1010"/>
      <c r="AX7" s="1010"/>
      <c r="AY7" s="1010"/>
      <c r="AZ7" s="1010"/>
      <c r="BA7" s="1010"/>
      <c r="BB7" s="1010"/>
    </row>
    <row r="8" spans="1:54" s="1090" customFormat="1">
      <c r="A8" s="1610"/>
      <c r="B8" s="1613"/>
      <c r="C8" s="1083" t="s">
        <v>1346</v>
      </c>
      <c r="D8" s="1083" t="s">
        <v>1347</v>
      </c>
      <c r="E8" s="1084">
        <v>0</v>
      </c>
      <c r="F8" s="1085" t="s">
        <v>235</v>
      </c>
      <c r="G8" s="1085"/>
      <c r="H8" s="1086">
        <v>0</v>
      </c>
      <c r="I8" s="1086" t="s">
        <v>235</v>
      </c>
      <c r="J8" s="1086"/>
      <c r="K8" s="1087" t="s">
        <v>1192</v>
      </c>
      <c r="L8" s="1088">
        <v>81988</v>
      </c>
      <c r="M8" s="1088">
        <v>84813</v>
      </c>
      <c r="N8" s="1089">
        <v>0</v>
      </c>
      <c r="O8" s="1089">
        <v>0</v>
      </c>
      <c r="P8" s="1010"/>
      <c r="Q8" s="1010"/>
      <c r="R8" s="1010"/>
      <c r="S8" s="1010"/>
      <c r="T8" s="1010"/>
      <c r="U8" s="1010"/>
      <c r="V8" s="1010"/>
      <c r="W8" s="1010"/>
      <c r="X8" s="1010"/>
      <c r="Y8" s="1010"/>
      <c r="Z8" s="1010"/>
      <c r="AA8" s="1010"/>
      <c r="AB8" s="1010"/>
      <c r="AC8" s="1010"/>
      <c r="AD8" s="1010"/>
      <c r="AE8" s="1010"/>
      <c r="AF8" s="1010"/>
      <c r="AG8" s="1010"/>
      <c r="AH8" s="1010"/>
      <c r="AI8" s="1010"/>
      <c r="AJ8" s="1010"/>
      <c r="AK8" s="1010"/>
      <c r="AL8" s="1010"/>
      <c r="AM8" s="1010"/>
      <c r="AN8" s="1010"/>
      <c r="AO8" s="1010"/>
      <c r="AP8" s="1010"/>
      <c r="AQ8" s="1010"/>
      <c r="AR8" s="1010"/>
      <c r="AS8" s="1010"/>
      <c r="AT8" s="1010"/>
      <c r="AU8" s="1010"/>
      <c r="AV8" s="1010"/>
      <c r="AW8" s="1010"/>
      <c r="AX8" s="1010"/>
      <c r="AY8" s="1010"/>
      <c r="AZ8" s="1010"/>
      <c r="BA8" s="1010"/>
      <c r="BB8" s="1010"/>
    </row>
    <row r="9" spans="1:54" s="1090" customFormat="1">
      <c r="A9" s="1610"/>
      <c r="B9" s="1609"/>
      <c r="C9" s="1092" t="s">
        <v>1197</v>
      </c>
      <c r="D9" s="1092"/>
      <c r="E9" s="1093">
        <v>10</v>
      </c>
      <c r="F9" s="1094">
        <f>SUM(F4:F8)</f>
        <v>0</v>
      </c>
      <c r="G9" s="1094">
        <f>SUM(G4:G8)</f>
        <v>10</v>
      </c>
      <c r="H9" s="1095">
        <v>2.5449809999999999</v>
      </c>
      <c r="I9" s="1095">
        <v>0</v>
      </c>
      <c r="J9" s="1095">
        <v>2.5449809999999999</v>
      </c>
      <c r="K9" s="1096"/>
      <c r="L9" s="1093">
        <v>384942</v>
      </c>
      <c r="M9" s="1093">
        <v>395761</v>
      </c>
      <c r="N9" s="1093">
        <v>0.25</v>
      </c>
      <c r="O9" s="1097">
        <v>6.3647250000000002E-2</v>
      </c>
      <c r="P9" s="1010"/>
      <c r="Q9" s="1010"/>
      <c r="R9" s="1010"/>
      <c r="S9" s="1010"/>
      <c r="T9" s="1010"/>
      <c r="U9" s="1010"/>
      <c r="V9" s="1010"/>
      <c r="W9" s="1010"/>
      <c r="X9" s="1010"/>
      <c r="Y9" s="1010"/>
      <c r="Z9" s="1010"/>
      <c r="AA9" s="1010"/>
      <c r="AB9" s="1010"/>
      <c r="AC9" s="1010"/>
      <c r="AD9" s="1010"/>
      <c r="AE9" s="1010"/>
      <c r="AF9" s="1010"/>
      <c r="AG9" s="1010"/>
      <c r="AH9" s="1010"/>
      <c r="AI9" s="1010"/>
      <c r="AJ9" s="1010"/>
      <c r="AK9" s="1010"/>
      <c r="AL9" s="1010"/>
      <c r="AM9" s="1010"/>
      <c r="AN9" s="1010"/>
      <c r="AO9" s="1010"/>
      <c r="AP9" s="1010"/>
      <c r="AQ9" s="1010"/>
      <c r="AR9" s="1010"/>
      <c r="AS9" s="1010"/>
      <c r="AT9" s="1010"/>
      <c r="AU9" s="1010"/>
      <c r="AV9" s="1010"/>
      <c r="AW9" s="1010"/>
      <c r="AX9" s="1010"/>
      <c r="AY9" s="1010"/>
      <c r="AZ9" s="1010"/>
      <c r="BA9" s="1010"/>
      <c r="BB9" s="1010"/>
    </row>
    <row r="10" spans="1:54" s="1090" customFormat="1">
      <c r="A10" s="1610"/>
      <c r="B10" s="1608" t="s">
        <v>1348</v>
      </c>
      <c r="C10" s="1083" t="s">
        <v>1349</v>
      </c>
      <c r="D10" s="1098"/>
      <c r="E10" s="1087">
        <v>0</v>
      </c>
      <c r="F10" s="1085" t="s">
        <v>235</v>
      </c>
      <c r="G10" s="1085"/>
      <c r="H10" s="1089">
        <v>0</v>
      </c>
      <c r="I10" s="1089" t="s">
        <v>235</v>
      </c>
      <c r="J10" s="1089"/>
      <c r="K10" s="1087"/>
      <c r="L10" s="1087"/>
      <c r="M10" s="1087"/>
      <c r="N10" s="1089">
        <v>0</v>
      </c>
      <c r="O10" s="1099" t="s">
        <v>235</v>
      </c>
      <c r="P10" s="1010"/>
      <c r="Q10" s="1010"/>
      <c r="R10" s="1010"/>
      <c r="S10" s="1010"/>
      <c r="T10" s="1010"/>
      <c r="U10" s="1010"/>
      <c r="V10" s="1010"/>
      <c r="W10" s="1010"/>
      <c r="X10" s="1010"/>
      <c r="Y10" s="1010" t="s">
        <v>235</v>
      </c>
      <c r="Z10" s="1010" t="s">
        <v>235</v>
      </c>
      <c r="AA10" s="1010"/>
      <c r="AB10" s="1010"/>
      <c r="AC10" s="1010"/>
      <c r="AD10" s="1010"/>
      <c r="AE10" s="1010"/>
      <c r="AF10" s="1010"/>
      <c r="AG10" s="1010"/>
      <c r="AH10" s="1010"/>
      <c r="AI10" s="1010"/>
      <c r="AJ10" s="1010"/>
      <c r="AK10" s="1010"/>
      <c r="AL10" s="1010"/>
      <c r="AM10" s="1010"/>
      <c r="AN10" s="1010"/>
      <c r="AO10" s="1010"/>
      <c r="AP10" s="1010"/>
      <c r="AQ10" s="1010"/>
      <c r="AR10" s="1010"/>
      <c r="AS10" s="1010"/>
      <c r="AT10" s="1010"/>
      <c r="AU10" s="1010"/>
      <c r="AV10" s="1010"/>
      <c r="AW10" s="1010"/>
      <c r="AX10" s="1010"/>
      <c r="AY10" s="1010"/>
      <c r="AZ10" s="1010"/>
      <c r="BA10" s="1010"/>
      <c r="BB10" s="1010"/>
    </row>
    <row r="11" spans="1:54" s="1090" customFormat="1">
      <c r="A11" s="1610"/>
      <c r="B11" s="1610"/>
      <c r="C11" s="1100" t="s">
        <v>1314</v>
      </c>
      <c r="D11" s="1083" t="s">
        <v>1260</v>
      </c>
      <c r="E11" s="1084">
        <v>0</v>
      </c>
      <c r="F11" s="1085" t="s">
        <v>235</v>
      </c>
      <c r="G11" s="1085"/>
      <c r="H11" s="1091">
        <v>0</v>
      </c>
      <c r="I11" s="1091" t="s">
        <v>235</v>
      </c>
      <c r="J11" s="1091"/>
      <c r="K11" s="1087" t="s">
        <v>1261</v>
      </c>
      <c r="L11" s="1101"/>
      <c r="M11" s="1101"/>
      <c r="N11" s="1091">
        <v>0</v>
      </c>
      <c r="O11" s="1102" t="s">
        <v>235</v>
      </c>
      <c r="P11" s="1010"/>
      <c r="Q11" s="1010"/>
      <c r="R11" s="1010"/>
      <c r="S11" s="1010"/>
      <c r="T11" s="1010"/>
      <c r="U11" s="1010"/>
      <c r="V11" s="1010"/>
      <c r="W11" s="1010"/>
      <c r="X11" s="1010"/>
      <c r="Y11" s="1010"/>
      <c r="Z11" s="1010"/>
      <c r="AA11" s="1010"/>
      <c r="AB11" s="1010"/>
      <c r="AC11" s="1010"/>
      <c r="AD11" s="1010"/>
      <c r="AE11" s="1010"/>
      <c r="AF11" s="1010"/>
      <c r="AG11" s="1010"/>
      <c r="AH11" s="1010"/>
      <c r="AI11" s="1010"/>
      <c r="AJ11" s="1010"/>
      <c r="AK11" s="1010"/>
      <c r="AL11" s="1010"/>
      <c r="AM11" s="1010"/>
      <c r="AN11" s="1010"/>
      <c r="AO11" s="1010"/>
      <c r="AP11" s="1010"/>
      <c r="AQ11" s="1010"/>
      <c r="AR11" s="1010"/>
      <c r="AS11" s="1010"/>
      <c r="AT11" s="1010"/>
      <c r="AU11" s="1010"/>
      <c r="AV11" s="1010"/>
      <c r="AW11" s="1010"/>
      <c r="AX11" s="1010"/>
      <c r="AY11" s="1010"/>
      <c r="AZ11" s="1010"/>
      <c r="BA11" s="1010"/>
      <c r="BB11" s="1010"/>
    </row>
    <row r="12" spans="1:54" s="1090" customFormat="1">
      <c r="A12" s="1610"/>
      <c r="B12" s="1610"/>
      <c r="C12" s="1083" t="s">
        <v>1350</v>
      </c>
      <c r="D12" s="1010"/>
      <c r="E12" s="1084">
        <v>0</v>
      </c>
      <c r="F12" s="1085" t="s">
        <v>235</v>
      </c>
      <c r="G12" s="1085"/>
      <c r="H12" s="1091">
        <v>0</v>
      </c>
      <c r="I12" s="1091" t="s">
        <v>235</v>
      </c>
      <c r="J12" s="1091"/>
      <c r="K12" s="1087"/>
      <c r="L12" s="1101"/>
      <c r="M12" s="1101"/>
      <c r="N12" s="1091">
        <v>0</v>
      </c>
      <c r="O12" s="1102" t="s">
        <v>235</v>
      </c>
      <c r="P12" s="1010"/>
      <c r="Q12" s="1010"/>
      <c r="R12" s="1010"/>
      <c r="S12" s="1010"/>
      <c r="T12" s="1010"/>
      <c r="U12" s="1010"/>
      <c r="V12" s="1010"/>
      <c r="W12" s="1010"/>
      <c r="X12" s="1010"/>
      <c r="Y12" s="1010"/>
      <c r="Z12" s="1010"/>
      <c r="AA12" s="1010"/>
      <c r="AB12" s="1010"/>
      <c r="AC12" s="1010"/>
      <c r="AD12" s="1010"/>
      <c r="AE12" s="1010"/>
      <c r="AF12" s="1010"/>
      <c r="AG12" s="1010"/>
      <c r="AH12" s="1010"/>
      <c r="AI12" s="1010"/>
      <c r="AJ12" s="1010"/>
      <c r="AK12" s="1010"/>
      <c r="AL12" s="1010"/>
      <c r="AM12" s="1010"/>
      <c r="AN12" s="1010"/>
      <c r="AO12" s="1010"/>
      <c r="AP12" s="1010"/>
      <c r="AQ12" s="1010"/>
      <c r="AR12" s="1010"/>
      <c r="AS12" s="1010"/>
      <c r="AT12" s="1010"/>
      <c r="AU12" s="1010"/>
      <c r="AV12" s="1010"/>
      <c r="AW12" s="1010"/>
      <c r="AX12" s="1010"/>
      <c r="AY12" s="1010"/>
      <c r="AZ12" s="1010"/>
      <c r="BA12" s="1010"/>
      <c r="BB12" s="1010"/>
    </row>
    <row r="13" spans="1:54" s="1090" customFormat="1">
      <c r="A13" s="1610"/>
      <c r="B13" s="1613"/>
      <c r="C13" s="1083" t="s">
        <v>1351</v>
      </c>
      <c r="D13" s="1083" t="s">
        <v>1352</v>
      </c>
      <c r="E13" s="1084">
        <v>0</v>
      </c>
      <c r="F13" s="1085" t="s">
        <v>235</v>
      </c>
      <c r="G13" s="1085"/>
      <c r="H13" s="1091">
        <v>0</v>
      </c>
      <c r="I13" s="1091" t="s">
        <v>235</v>
      </c>
      <c r="J13" s="1091"/>
      <c r="K13" s="1087" t="s">
        <v>1192</v>
      </c>
      <c r="L13" s="1103">
        <v>372.1</v>
      </c>
      <c r="M13" s="1103">
        <v>400.5</v>
      </c>
      <c r="N13" s="1091">
        <v>0</v>
      </c>
      <c r="O13" s="1091">
        <v>0</v>
      </c>
      <c r="P13" s="1010"/>
      <c r="Q13" s="1010"/>
      <c r="R13" s="1010"/>
      <c r="S13" s="1010"/>
      <c r="T13" s="1010"/>
      <c r="U13" s="1010"/>
      <c r="V13" s="1010"/>
      <c r="W13" s="1010"/>
      <c r="X13" s="1010"/>
      <c r="Y13" s="1010"/>
      <c r="Z13" s="1010"/>
      <c r="AA13" s="1010"/>
      <c r="AB13" s="1010"/>
      <c r="AC13" s="1010"/>
      <c r="AD13" s="1010"/>
      <c r="AE13" s="1010"/>
      <c r="AF13" s="1010"/>
      <c r="AG13" s="1010"/>
      <c r="AH13" s="1010"/>
      <c r="AI13" s="1010"/>
      <c r="AJ13" s="1010"/>
      <c r="AK13" s="1010"/>
      <c r="AL13" s="1010"/>
      <c r="AM13" s="1010"/>
      <c r="AN13" s="1010"/>
      <c r="AO13" s="1010"/>
      <c r="AP13" s="1010"/>
      <c r="AQ13" s="1010"/>
      <c r="AR13" s="1010"/>
      <c r="AS13" s="1010"/>
      <c r="AT13" s="1010"/>
      <c r="AU13" s="1010"/>
      <c r="AV13" s="1010"/>
      <c r="AW13" s="1010"/>
      <c r="AX13" s="1010"/>
      <c r="AY13" s="1010"/>
      <c r="AZ13" s="1010"/>
      <c r="BA13" s="1010"/>
      <c r="BB13" s="1010"/>
    </row>
    <row r="14" spans="1:54" s="1090" customFormat="1">
      <c r="A14" s="1610"/>
      <c r="B14" s="1613"/>
      <c r="C14" s="1083" t="s">
        <v>1353</v>
      </c>
      <c r="D14" s="1104" t="s">
        <v>1354</v>
      </c>
      <c r="E14" s="1084">
        <v>0</v>
      </c>
      <c r="F14" s="1085" t="s">
        <v>235</v>
      </c>
      <c r="G14" s="1085"/>
      <c r="H14" s="1091">
        <v>0</v>
      </c>
      <c r="I14" s="1091" t="s">
        <v>235</v>
      </c>
      <c r="J14" s="1091"/>
      <c r="K14" s="1087" t="s">
        <v>1278</v>
      </c>
      <c r="L14" s="1101"/>
      <c r="M14" s="1101"/>
      <c r="N14" s="1091">
        <v>0</v>
      </c>
      <c r="O14" s="1091">
        <v>0</v>
      </c>
      <c r="P14" s="1010"/>
      <c r="Q14" s="1010"/>
      <c r="R14" s="1010"/>
      <c r="S14" s="1010"/>
      <c r="T14" s="1010"/>
      <c r="U14" s="1010"/>
      <c r="V14" s="1010"/>
      <c r="W14" s="1010"/>
      <c r="X14" s="1010"/>
      <c r="Y14" s="1010"/>
      <c r="Z14" s="1010"/>
      <c r="AA14" s="1010"/>
      <c r="AB14" s="1010"/>
      <c r="AC14" s="1010"/>
      <c r="AD14" s="1010"/>
      <c r="AE14" s="1010"/>
      <c r="AF14" s="1010"/>
      <c r="AG14" s="1010"/>
      <c r="AH14" s="1010"/>
      <c r="AI14" s="1010"/>
      <c r="AJ14" s="1010"/>
      <c r="AK14" s="1010"/>
      <c r="AL14" s="1010"/>
      <c r="AM14" s="1010"/>
      <c r="AN14" s="1010"/>
      <c r="AO14" s="1010"/>
      <c r="AP14" s="1010"/>
      <c r="AQ14" s="1010"/>
      <c r="AR14" s="1010"/>
      <c r="AS14" s="1010"/>
      <c r="AT14" s="1010"/>
      <c r="AU14" s="1010"/>
      <c r="AV14" s="1010"/>
      <c r="AW14" s="1010"/>
      <c r="AX14" s="1010"/>
      <c r="AY14" s="1010"/>
      <c r="AZ14" s="1010"/>
      <c r="BA14" s="1010"/>
      <c r="BB14" s="1010"/>
    </row>
    <row r="15" spans="1:54" s="1090" customFormat="1">
      <c r="A15" s="1610"/>
      <c r="B15" s="1609"/>
      <c r="C15" s="1092" t="s">
        <v>1223</v>
      </c>
      <c r="D15" s="1092"/>
      <c r="E15" s="1093">
        <v>0</v>
      </c>
      <c r="F15" s="1094">
        <f>SUM(F10:F14)</f>
        <v>0</v>
      </c>
      <c r="G15" s="1094">
        <f>SUM(G10:G14)</f>
        <v>0</v>
      </c>
      <c r="H15" s="1095">
        <v>0</v>
      </c>
      <c r="I15" s="1095">
        <v>0</v>
      </c>
      <c r="J15" s="1095">
        <v>0</v>
      </c>
      <c r="K15" s="1096"/>
      <c r="L15" s="1093">
        <v>372.1</v>
      </c>
      <c r="M15" s="1093">
        <v>400.5</v>
      </c>
      <c r="N15" s="1093">
        <v>0</v>
      </c>
      <c r="O15" s="1097">
        <v>0</v>
      </c>
      <c r="P15" s="1010"/>
      <c r="Q15" s="1010"/>
      <c r="R15" s="1010"/>
      <c r="S15" s="1010"/>
      <c r="T15" s="1010"/>
      <c r="U15" s="1010"/>
      <c r="V15" s="1010"/>
      <c r="W15" s="1010"/>
      <c r="X15" s="1010"/>
      <c r="Y15" s="1010"/>
      <c r="Z15" s="1010"/>
      <c r="AA15" s="1010"/>
      <c r="AB15" s="1010"/>
      <c r="AC15" s="1010"/>
      <c r="AD15" s="1010"/>
      <c r="AE15" s="1010"/>
      <c r="AF15" s="1010"/>
      <c r="AG15" s="1010"/>
      <c r="AH15" s="1010"/>
      <c r="AI15" s="1010"/>
      <c r="AJ15" s="1010"/>
      <c r="AK15" s="1010"/>
      <c r="AL15" s="1010"/>
      <c r="AM15" s="1010"/>
      <c r="AN15" s="1010"/>
      <c r="AO15" s="1010"/>
      <c r="AP15" s="1010"/>
      <c r="AQ15" s="1010"/>
      <c r="AR15" s="1010"/>
      <c r="AS15" s="1010"/>
      <c r="AT15" s="1010"/>
      <c r="AU15" s="1010"/>
      <c r="AV15" s="1010"/>
      <c r="AW15" s="1010"/>
      <c r="AX15" s="1010"/>
      <c r="AY15" s="1010"/>
      <c r="AZ15" s="1010"/>
      <c r="BA15" s="1010"/>
      <c r="BB15" s="1010"/>
    </row>
    <row r="16" spans="1:54" s="1090" customFormat="1">
      <c r="A16" s="1610"/>
      <c r="B16" s="1608" t="s">
        <v>1139</v>
      </c>
      <c r="C16" s="1105" t="s">
        <v>1355</v>
      </c>
      <c r="D16" s="1083" t="s">
        <v>1260</v>
      </c>
      <c r="E16" s="1084">
        <v>0</v>
      </c>
      <c r="F16" s="1085" t="s">
        <v>235</v>
      </c>
      <c r="G16" s="1085"/>
      <c r="H16" s="1091">
        <v>0</v>
      </c>
      <c r="I16" s="1091" t="s">
        <v>235</v>
      </c>
      <c r="J16" s="1091"/>
      <c r="K16" s="1087" t="s">
        <v>1210</v>
      </c>
      <c r="L16" s="1084">
        <v>40780</v>
      </c>
      <c r="M16" s="1088">
        <v>40020</v>
      </c>
      <c r="N16" s="1087">
        <v>0</v>
      </c>
      <c r="O16" s="1099">
        <v>0</v>
      </c>
      <c r="P16" s="1010"/>
      <c r="Q16" s="1010"/>
      <c r="R16" s="1010"/>
      <c r="S16" s="1010"/>
      <c r="T16" s="1010"/>
      <c r="U16" s="1010"/>
      <c r="V16" s="1010"/>
      <c r="W16" s="1010"/>
      <c r="X16" s="1010"/>
      <c r="Y16" s="1010"/>
      <c r="Z16" s="1010"/>
      <c r="AA16" s="1010"/>
      <c r="AB16" s="1010"/>
      <c r="AC16" s="1010"/>
      <c r="AD16" s="1010"/>
      <c r="AE16" s="1010"/>
      <c r="AF16" s="1010"/>
      <c r="AG16" s="1010"/>
      <c r="AH16" s="1010"/>
      <c r="AI16" s="1010"/>
      <c r="AJ16" s="1010"/>
      <c r="AK16" s="1010"/>
      <c r="AL16" s="1010"/>
      <c r="AM16" s="1010"/>
      <c r="AN16" s="1010"/>
      <c r="AO16" s="1010"/>
      <c r="AP16" s="1010"/>
      <c r="AQ16" s="1010"/>
      <c r="AR16" s="1010"/>
      <c r="AS16" s="1010"/>
      <c r="AT16" s="1010"/>
      <c r="AU16" s="1010"/>
      <c r="AV16" s="1010"/>
      <c r="AW16" s="1010"/>
      <c r="AX16" s="1010"/>
      <c r="AY16" s="1010"/>
      <c r="AZ16" s="1010"/>
      <c r="BA16" s="1010"/>
      <c r="BB16" s="1010"/>
    </row>
    <row r="17" spans="1:54" s="1090" customFormat="1">
      <c r="A17" s="1610"/>
      <c r="B17" s="1613"/>
      <c r="C17" s="1083" t="s">
        <v>1203</v>
      </c>
      <c r="D17" s="1083" t="s">
        <v>1204</v>
      </c>
      <c r="E17" s="1106">
        <v>0</v>
      </c>
      <c r="F17" s="1085" t="s">
        <v>235</v>
      </c>
      <c r="G17" s="1085"/>
      <c r="H17" s="1086">
        <v>0</v>
      </c>
      <c r="I17" s="1086" t="s">
        <v>235</v>
      </c>
      <c r="J17" s="1086"/>
      <c r="K17" s="1087" t="s">
        <v>1192</v>
      </c>
      <c r="L17" s="1101"/>
      <c r="M17" s="1088"/>
      <c r="N17" s="1087">
        <v>0</v>
      </c>
      <c r="O17" s="1099">
        <v>0</v>
      </c>
      <c r="P17" s="1010"/>
      <c r="Q17" s="1010"/>
      <c r="R17" s="1010"/>
      <c r="S17" s="1010"/>
      <c r="T17" s="1010"/>
      <c r="U17" s="1010"/>
      <c r="V17" s="1010"/>
      <c r="W17" s="1010"/>
      <c r="X17" s="1010"/>
      <c r="Y17" s="1010"/>
      <c r="Z17" s="1010"/>
      <c r="AA17" s="1010"/>
      <c r="AB17" s="1010"/>
      <c r="AC17" s="1010"/>
      <c r="AD17" s="1010"/>
      <c r="AE17" s="1010"/>
      <c r="AF17" s="1010"/>
      <c r="AG17" s="1010"/>
      <c r="AH17" s="1010"/>
      <c r="AI17" s="1010"/>
      <c r="AJ17" s="1010"/>
      <c r="AK17" s="1010"/>
      <c r="AL17" s="1010"/>
      <c r="AM17" s="1010"/>
      <c r="AN17" s="1010"/>
      <c r="AO17" s="1010"/>
      <c r="AP17" s="1010"/>
      <c r="AQ17" s="1010"/>
      <c r="AR17" s="1010"/>
      <c r="AS17" s="1010"/>
      <c r="AT17" s="1010"/>
      <c r="AU17" s="1010"/>
      <c r="AV17" s="1010"/>
      <c r="AW17" s="1010"/>
      <c r="AX17" s="1010"/>
      <c r="AY17" s="1010"/>
      <c r="AZ17" s="1010"/>
      <c r="BA17" s="1010"/>
      <c r="BB17" s="1010"/>
    </row>
    <row r="18" spans="1:54" s="1090" customFormat="1">
      <c r="A18" s="1610"/>
      <c r="B18" s="1613"/>
      <c r="C18" s="1083" t="s">
        <v>1199</v>
      </c>
      <c r="D18" s="1083" t="s">
        <v>1200</v>
      </c>
      <c r="E18" s="1106">
        <v>0</v>
      </c>
      <c r="F18" s="1085" t="s">
        <v>235</v>
      </c>
      <c r="G18" s="1085"/>
      <c r="H18" s="1086">
        <v>0</v>
      </c>
      <c r="I18" s="1086" t="s">
        <v>235</v>
      </c>
      <c r="J18" s="1086"/>
      <c r="K18" s="1087"/>
      <c r="L18" s="1101"/>
      <c r="M18" s="1088"/>
      <c r="N18" s="1087">
        <v>0</v>
      </c>
      <c r="O18" s="1099">
        <v>0</v>
      </c>
      <c r="P18" s="1010"/>
      <c r="Q18" s="1010"/>
      <c r="R18" s="1010"/>
      <c r="S18" s="1010"/>
      <c r="T18" s="1010"/>
      <c r="U18" s="1010"/>
      <c r="V18" s="1010"/>
      <c r="W18" s="1010"/>
      <c r="X18" s="1010"/>
      <c r="Y18" s="1010"/>
      <c r="Z18" s="1010"/>
      <c r="AA18" s="1010"/>
      <c r="AB18" s="1010"/>
      <c r="AC18" s="1010"/>
      <c r="AD18" s="1010"/>
      <c r="AE18" s="1010"/>
      <c r="AF18" s="1010"/>
      <c r="AG18" s="1010"/>
      <c r="AH18" s="1010"/>
      <c r="AI18" s="1010"/>
      <c r="AJ18" s="1010"/>
      <c r="AK18" s="1010"/>
      <c r="AL18" s="1010"/>
      <c r="AM18" s="1010"/>
      <c r="AN18" s="1010"/>
      <c r="AO18" s="1010"/>
      <c r="AP18" s="1010"/>
      <c r="AQ18" s="1010"/>
      <c r="AR18" s="1010"/>
      <c r="AS18" s="1010"/>
      <c r="AT18" s="1010"/>
      <c r="AU18" s="1010"/>
      <c r="AV18" s="1010"/>
      <c r="AW18" s="1010"/>
      <c r="AX18" s="1010"/>
      <c r="AY18" s="1010"/>
      <c r="AZ18" s="1010"/>
      <c r="BA18" s="1010"/>
      <c r="BB18" s="1010"/>
    </row>
    <row r="19" spans="1:54" s="1090" customFormat="1">
      <c r="A19" s="1610"/>
      <c r="B19" s="1613"/>
      <c r="C19" s="1083" t="s">
        <v>1211</v>
      </c>
      <c r="D19" s="1083" t="s">
        <v>1200</v>
      </c>
      <c r="E19" s="1106">
        <v>0</v>
      </c>
      <c r="F19" s="1085" t="s">
        <v>235</v>
      </c>
      <c r="G19" s="1085"/>
      <c r="H19" s="1086">
        <v>0</v>
      </c>
      <c r="I19" s="1086" t="s">
        <v>235</v>
      </c>
      <c r="J19" s="1086"/>
      <c r="K19" s="1087"/>
      <c r="L19" s="1101"/>
      <c r="M19" s="1088"/>
      <c r="N19" s="1087">
        <v>0</v>
      </c>
      <c r="O19" s="1099">
        <v>0</v>
      </c>
      <c r="P19" s="1010"/>
      <c r="Q19" s="1010"/>
      <c r="R19" s="1010"/>
      <c r="S19" s="1010"/>
      <c r="T19" s="1010"/>
      <c r="U19" s="1010"/>
      <c r="V19" s="1010"/>
      <c r="W19" s="1010"/>
      <c r="X19" s="1010"/>
      <c r="Y19" s="1010"/>
      <c r="Z19" s="1010"/>
      <c r="AA19" s="1010"/>
      <c r="AB19" s="1010"/>
      <c r="AC19" s="1010"/>
      <c r="AD19" s="1010"/>
      <c r="AE19" s="1010"/>
      <c r="AF19" s="1010"/>
      <c r="AG19" s="1010"/>
      <c r="AH19" s="1010"/>
      <c r="AI19" s="1010"/>
      <c r="AJ19" s="1010"/>
      <c r="AK19" s="1010"/>
      <c r="AL19" s="1010"/>
      <c r="AM19" s="1010"/>
      <c r="AN19" s="1010"/>
      <c r="AO19" s="1010"/>
      <c r="AP19" s="1010"/>
      <c r="AQ19" s="1010"/>
      <c r="AR19" s="1010"/>
      <c r="AS19" s="1010"/>
      <c r="AT19" s="1010"/>
      <c r="AU19" s="1010"/>
      <c r="AV19" s="1010"/>
      <c r="AW19" s="1010"/>
      <c r="AX19" s="1010"/>
      <c r="AY19" s="1010"/>
      <c r="AZ19" s="1010"/>
      <c r="BA19" s="1010"/>
      <c r="BB19" s="1010"/>
    </row>
    <row r="20" spans="1:54" s="1090" customFormat="1">
      <c r="A20" s="1610"/>
      <c r="B20" s="1609"/>
      <c r="C20" s="1092" t="s">
        <v>1320</v>
      </c>
      <c r="D20" s="1092"/>
      <c r="E20" s="1093">
        <v>0</v>
      </c>
      <c r="F20" s="1094">
        <f>SUM(F16:F19)</f>
        <v>0</v>
      </c>
      <c r="G20" s="1094">
        <f>SUM(G16:G19)</f>
        <v>0</v>
      </c>
      <c r="H20" s="1093">
        <v>0</v>
      </c>
      <c r="I20" s="1093">
        <v>0</v>
      </c>
      <c r="J20" s="1093">
        <v>0</v>
      </c>
      <c r="K20" s="1096"/>
      <c r="L20" s="1093">
        <v>40780</v>
      </c>
      <c r="M20" s="1093">
        <v>40020</v>
      </c>
      <c r="N20" s="1093">
        <v>0</v>
      </c>
      <c r="O20" s="1093">
        <v>0</v>
      </c>
      <c r="P20" s="1010"/>
      <c r="Q20" s="1010"/>
      <c r="R20" s="1010"/>
      <c r="S20" s="1010"/>
      <c r="T20" s="1010"/>
      <c r="U20" s="1010"/>
      <c r="V20" s="1010"/>
      <c r="W20" s="1010"/>
      <c r="X20" s="1010"/>
      <c r="Y20" s="1010"/>
      <c r="Z20" s="1010"/>
      <c r="AA20" s="1010"/>
      <c r="AB20" s="1010"/>
      <c r="AC20" s="1010"/>
      <c r="AD20" s="1010"/>
      <c r="AE20" s="1010"/>
      <c r="AF20" s="1010"/>
      <c r="AG20" s="1010"/>
      <c r="AH20" s="1010"/>
      <c r="AI20" s="1010"/>
      <c r="AJ20" s="1010"/>
      <c r="AK20" s="1010"/>
      <c r="AL20" s="1010"/>
      <c r="AM20" s="1010"/>
      <c r="AN20" s="1010"/>
      <c r="AO20" s="1010"/>
      <c r="AP20" s="1010"/>
      <c r="AQ20" s="1010"/>
      <c r="AR20" s="1010"/>
      <c r="AS20" s="1010"/>
      <c r="AT20" s="1010"/>
      <c r="AU20" s="1010"/>
      <c r="AV20" s="1010"/>
      <c r="AW20" s="1010"/>
      <c r="AX20" s="1010"/>
      <c r="AY20" s="1010"/>
      <c r="AZ20" s="1010"/>
      <c r="BA20" s="1010"/>
      <c r="BB20" s="1010"/>
    </row>
    <row r="21" spans="1:54" s="1090" customFormat="1">
      <c r="A21" s="1610"/>
      <c r="B21" s="1608" t="s">
        <v>1116</v>
      </c>
      <c r="C21" s="1083" t="s">
        <v>1356</v>
      </c>
      <c r="D21" s="1083"/>
      <c r="E21" s="1106">
        <v>0</v>
      </c>
      <c r="F21" s="1085" t="s">
        <v>235</v>
      </c>
      <c r="G21" s="1085"/>
      <c r="H21" s="1086">
        <v>0</v>
      </c>
      <c r="I21" s="1086" t="s">
        <v>235</v>
      </c>
      <c r="J21" s="1086"/>
      <c r="K21" s="1087" t="s">
        <v>235</v>
      </c>
      <c r="L21" s="1101">
        <v>6763</v>
      </c>
      <c r="M21" s="1088">
        <v>6609</v>
      </c>
      <c r="N21" s="1087" t="s">
        <v>235</v>
      </c>
      <c r="O21" s="1087" t="s">
        <v>235</v>
      </c>
      <c r="P21" s="1010"/>
      <c r="Q21" s="1010"/>
      <c r="R21" s="1010"/>
      <c r="S21" s="1010"/>
      <c r="T21" s="1010"/>
      <c r="U21" s="1010"/>
      <c r="V21" s="1010"/>
      <c r="W21" s="1010"/>
      <c r="X21" s="1010"/>
      <c r="Y21" s="1010"/>
      <c r="Z21" s="1010"/>
      <c r="AA21" s="1010"/>
      <c r="AB21" s="1010"/>
      <c r="AC21" s="1010"/>
      <c r="AD21" s="1010"/>
      <c r="AE21" s="1010"/>
      <c r="AF21" s="1010"/>
      <c r="AG21" s="1010"/>
      <c r="AH21" s="1010"/>
      <c r="AI21" s="1010"/>
      <c r="AJ21" s="1010"/>
      <c r="AK21" s="1010"/>
      <c r="AL21" s="1010"/>
      <c r="AM21" s="1010"/>
      <c r="AN21" s="1010"/>
      <c r="AO21" s="1010"/>
      <c r="AP21" s="1010"/>
      <c r="AQ21" s="1010"/>
      <c r="AR21" s="1010"/>
      <c r="AS21" s="1010"/>
      <c r="AT21" s="1010"/>
      <c r="AU21" s="1010"/>
      <c r="AV21" s="1010"/>
      <c r="AW21" s="1010"/>
      <c r="AX21" s="1010"/>
      <c r="AY21" s="1010"/>
      <c r="AZ21" s="1010"/>
      <c r="BA21" s="1010"/>
      <c r="BB21" s="1010"/>
    </row>
    <row r="22" spans="1:54" s="1090" customFormat="1">
      <c r="A22" s="1610"/>
      <c r="B22" s="1610"/>
      <c r="C22" s="1083" t="s">
        <v>1357</v>
      </c>
      <c r="D22" s="1083"/>
      <c r="E22" s="1106">
        <v>0</v>
      </c>
      <c r="F22" s="1085" t="s">
        <v>235</v>
      </c>
      <c r="G22" s="1085"/>
      <c r="H22" s="1086">
        <v>0</v>
      </c>
      <c r="I22" s="1106" t="s">
        <v>235</v>
      </c>
      <c r="J22" s="1106"/>
      <c r="K22" s="1087"/>
      <c r="L22" s="1101">
        <v>6548</v>
      </c>
      <c r="M22" s="1088">
        <v>6216</v>
      </c>
      <c r="N22" s="1087"/>
      <c r="O22" s="1087"/>
      <c r="P22" s="1010"/>
      <c r="Q22" s="1010"/>
      <c r="R22" s="1010"/>
      <c r="S22" s="1010"/>
      <c r="T22" s="1010"/>
      <c r="U22" s="1010"/>
      <c r="V22" s="1010"/>
      <c r="W22" s="1010"/>
      <c r="X22" s="1010"/>
      <c r="Y22" s="1010"/>
      <c r="Z22" s="1010"/>
      <c r="AA22" s="1010"/>
      <c r="AB22" s="1010"/>
      <c r="AC22" s="1010"/>
      <c r="AD22" s="1010"/>
      <c r="AE22" s="1010"/>
      <c r="AF22" s="1010"/>
      <c r="AG22" s="1010"/>
      <c r="AH22" s="1010"/>
      <c r="AI22" s="1010"/>
      <c r="AJ22" s="1010"/>
      <c r="AK22" s="1010"/>
      <c r="AL22" s="1010"/>
      <c r="AM22" s="1010"/>
      <c r="AN22" s="1010"/>
      <c r="AO22" s="1010"/>
      <c r="AP22" s="1010"/>
      <c r="AQ22" s="1010"/>
      <c r="AR22" s="1010"/>
      <c r="AS22" s="1010"/>
      <c r="AT22" s="1010"/>
      <c r="AU22" s="1010"/>
      <c r="AV22" s="1010"/>
      <c r="AW22" s="1010"/>
      <c r="AX22" s="1010"/>
      <c r="AY22" s="1010"/>
      <c r="AZ22" s="1010"/>
      <c r="BA22" s="1010"/>
      <c r="BB22" s="1010"/>
    </row>
    <row r="23" spans="1:54" s="1090" customFormat="1">
      <c r="A23" s="1610"/>
      <c r="B23" s="1609"/>
      <c r="C23" s="1092" t="s">
        <v>1234</v>
      </c>
      <c r="D23" s="1092"/>
      <c r="E23" s="1093">
        <v>0</v>
      </c>
      <c r="F23" s="1094">
        <f>SUM(F21:F22)</f>
        <v>0</v>
      </c>
      <c r="G23" s="1094">
        <f>SUM(G21:G22)</f>
        <v>0</v>
      </c>
      <c r="H23" s="1093">
        <v>0</v>
      </c>
      <c r="I23" s="1093">
        <v>0</v>
      </c>
      <c r="J23" s="1093">
        <v>0</v>
      </c>
      <c r="K23" s="1096"/>
      <c r="L23" s="1093">
        <v>13311</v>
      </c>
      <c r="M23" s="1093">
        <v>12825</v>
      </c>
      <c r="N23" s="1093">
        <v>0</v>
      </c>
      <c r="O23" s="1093">
        <v>0</v>
      </c>
      <c r="P23" s="1010"/>
      <c r="Q23" s="1010"/>
      <c r="R23" s="1010"/>
      <c r="S23" s="1010"/>
      <c r="T23" s="1010"/>
      <c r="U23" s="1010"/>
      <c r="V23" s="1010"/>
      <c r="W23" s="1010"/>
      <c r="X23" s="1010"/>
      <c r="Y23" s="1010"/>
      <c r="Z23" s="1010"/>
      <c r="AA23" s="1010"/>
      <c r="AB23" s="1010"/>
      <c r="AC23" s="1010"/>
      <c r="AD23" s="1010"/>
      <c r="AE23" s="1010"/>
      <c r="AF23" s="1010"/>
      <c r="AG23" s="1010"/>
      <c r="AH23" s="1010"/>
      <c r="AI23" s="1010"/>
      <c r="AJ23" s="1010"/>
      <c r="AK23" s="1010"/>
      <c r="AL23" s="1010"/>
      <c r="AM23" s="1010"/>
      <c r="AN23" s="1010"/>
      <c r="AO23" s="1010"/>
      <c r="AP23" s="1010"/>
      <c r="AQ23" s="1010"/>
      <c r="AR23" s="1010"/>
      <c r="AS23" s="1010"/>
      <c r="AT23" s="1010"/>
      <c r="AU23" s="1010"/>
      <c r="AV23" s="1010"/>
      <c r="AW23" s="1010"/>
      <c r="AX23" s="1010"/>
      <c r="AY23" s="1010"/>
      <c r="AZ23" s="1010"/>
      <c r="BA23" s="1010"/>
      <c r="BB23" s="1010"/>
    </row>
    <row r="24" spans="1:54" s="1090" customFormat="1" ht="25.5">
      <c r="A24" s="1611"/>
      <c r="B24" s="1107" t="s">
        <v>1358</v>
      </c>
      <c r="C24" s="1108"/>
      <c r="D24" s="1108"/>
      <c r="E24" s="1109">
        <v>10</v>
      </c>
      <c r="F24" s="1110">
        <f>F23+F20+F15+F9</f>
        <v>0</v>
      </c>
      <c r="G24" s="1110">
        <f>G23+G20+G15+G9</f>
        <v>10</v>
      </c>
      <c r="H24" s="1111">
        <v>2.5449809999999999</v>
      </c>
      <c r="I24" s="1111">
        <v>0</v>
      </c>
      <c r="J24" s="1111">
        <v>2.5449809999999999</v>
      </c>
      <c r="K24" s="1112"/>
      <c r="L24" s="1109">
        <v>439405.1</v>
      </c>
      <c r="M24" s="1109">
        <v>449006.5</v>
      </c>
      <c r="N24" s="1109">
        <v>0.25</v>
      </c>
      <c r="O24" s="1113">
        <v>6.3647250000000002E-2</v>
      </c>
      <c r="P24" s="1010"/>
      <c r="Q24" s="1010"/>
      <c r="R24" s="1010"/>
      <c r="S24" s="1010"/>
      <c r="T24" s="1010"/>
      <c r="U24" s="1010"/>
      <c r="V24" s="1010"/>
      <c r="W24" s="1010"/>
      <c r="X24" s="1010"/>
      <c r="Y24" s="1010"/>
      <c r="Z24" s="1010"/>
      <c r="AA24" s="1010"/>
      <c r="AB24" s="1010"/>
      <c r="AC24" s="1010"/>
      <c r="AD24" s="1010"/>
      <c r="AE24" s="1010"/>
      <c r="AF24" s="1010"/>
      <c r="AG24" s="1010"/>
      <c r="AH24" s="1010"/>
      <c r="AI24" s="1010"/>
      <c r="AJ24" s="1010"/>
      <c r="AK24" s="1010"/>
      <c r="AL24" s="1010"/>
      <c r="AM24" s="1010"/>
      <c r="AN24" s="1010"/>
      <c r="AO24" s="1010"/>
      <c r="AP24" s="1010"/>
      <c r="AQ24" s="1010"/>
      <c r="AR24" s="1010"/>
      <c r="AS24" s="1010"/>
      <c r="AT24" s="1010"/>
      <c r="AU24" s="1010"/>
      <c r="AV24" s="1010"/>
      <c r="AW24" s="1010"/>
      <c r="AX24" s="1010"/>
      <c r="AY24" s="1010"/>
      <c r="AZ24" s="1010"/>
      <c r="BA24" s="1010"/>
      <c r="BB24" s="1010"/>
    </row>
    <row r="25" spans="1:54" s="1090" customFormat="1">
      <c r="A25" s="1608" t="s">
        <v>1359</v>
      </c>
      <c r="B25" s="1608" t="s">
        <v>1360</v>
      </c>
      <c r="C25" s="1100" t="s">
        <v>1179</v>
      </c>
      <c r="D25" s="1083" t="s">
        <v>1340</v>
      </c>
      <c r="E25" s="1106">
        <v>0</v>
      </c>
      <c r="F25" s="1085" t="s">
        <v>235</v>
      </c>
      <c r="G25" s="1085"/>
      <c r="H25" s="1086">
        <v>0</v>
      </c>
      <c r="I25" s="1086" t="s">
        <v>235</v>
      </c>
      <c r="J25" s="1086"/>
      <c r="K25" s="1114" t="s">
        <v>1181</v>
      </c>
      <c r="L25" s="1101" t="s">
        <v>235</v>
      </c>
      <c r="M25" s="1101" t="s">
        <v>235</v>
      </c>
      <c r="N25" s="1091">
        <v>0</v>
      </c>
      <c r="O25" s="1091">
        <v>0</v>
      </c>
      <c r="P25" s="1010"/>
      <c r="Q25" s="1010"/>
      <c r="R25" s="1010"/>
      <c r="S25" s="1010"/>
      <c r="T25" s="1010"/>
      <c r="U25" s="1010"/>
      <c r="V25" s="1010"/>
      <c r="W25" s="1010"/>
      <c r="X25" s="1010"/>
      <c r="Y25" s="1010"/>
      <c r="Z25" s="1010"/>
      <c r="AA25" s="1010"/>
      <c r="AB25" s="1010"/>
      <c r="AC25" s="1010"/>
      <c r="AD25" s="1010"/>
      <c r="AE25" s="1010"/>
      <c r="AF25" s="1010"/>
      <c r="AG25" s="1010"/>
      <c r="AH25" s="1010"/>
      <c r="AI25" s="1010"/>
      <c r="AJ25" s="1010"/>
      <c r="AK25" s="1010"/>
      <c r="AL25" s="1010"/>
      <c r="AM25" s="1010"/>
      <c r="AN25" s="1010"/>
      <c r="AO25" s="1010"/>
      <c r="AP25" s="1010"/>
      <c r="AQ25" s="1010"/>
      <c r="AR25" s="1010"/>
      <c r="AS25" s="1010"/>
      <c r="AT25" s="1010"/>
      <c r="AU25" s="1010"/>
      <c r="AV25" s="1010"/>
      <c r="AW25" s="1010"/>
      <c r="AX25" s="1010"/>
      <c r="AY25" s="1010"/>
      <c r="AZ25" s="1010"/>
      <c r="BA25" s="1010"/>
      <c r="BB25" s="1010"/>
    </row>
    <row r="26" spans="1:54" s="1090" customFormat="1">
      <c r="A26" s="1610"/>
      <c r="B26" s="1613"/>
      <c r="C26" s="1083" t="s">
        <v>1190</v>
      </c>
      <c r="D26" s="1104" t="s">
        <v>1361</v>
      </c>
      <c r="E26" s="1106">
        <v>53</v>
      </c>
      <c r="F26" s="1085" t="s">
        <v>235</v>
      </c>
      <c r="G26" s="1085">
        <v>53</v>
      </c>
      <c r="H26" s="1086">
        <v>13.5983415</v>
      </c>
      <c r="I26" s="1086" t="s">
        <v>235</v>
      </c>
      <c r="J26" s="1086">
        <v>13.5983415</v>
      </c>
      <c r="K26" s="1114" t="s">
        <v>1192</v>
      </c>
      <c r="L26" s="1101" t="s">
        <v>235</v>
      </c>
      <c r="M26" s="1101" t="s">
        <v>235</v>
      </c>
      <c r="N26" s="1091">
        <v>0.125</v>
      </c>
      <c r="O26" s="1091">
        <v>3.0824250000000001E-2</v>
      </c>
      <c r="P26" s="1010"/>
      <c r="Q26" s="1010"/>
      <c r="R26" s="1010"/>
      <c r="S26" s="1010"/>
      <c r="T26" s="1010"/>
      <c r="U26" s="1010"/>
      <c r="V26" s="1010"/>
      <c r="W26" s="1010"/>
      <c r="X26" s="1010"/>
      <c r="Y26" s="1010"/>
      <c r="Z26" s="1010"/>
      <c r="AA26" s="1010"/>
      <c r="AB26" s="1010"/>
      <c r="AC26" s="1010"/>
      <c r="AD26" s="1010"/>
      <c r="AE26" s="1010"/>
      <c r="AF26" s="1010"/>
      <c r="AG26" s="1010"/>
      <c r="AH26" s="1010"/>
      <c r="AI26" s="1010"/>
      <c r="AJ26" s="1010"/>
      <c r="AK26" s="1010"/>
      <c r="AL26" s="1010"/>
      <c r="AM26" s="1010"/>
      <c r="AN26" s="1010"/>
      <c r="AO26" s="1010"/>
      <c r="AP26" s="1010"/>
      <c r="AQ26" s="1010"/>
      <c r="AR26" s="1010"/>
      <c r="AS26" s="1010"/>
      <c r="AT26" s="1010"/>
      <c r="AU26" s="1010"/>
      <c r="AV26" s="1010"/>
      <c r="AW26" s="1010"/>
      <c r="AX26" s="1010"/>
      <c r="AY26" s="1010"/>
      <c r="AZ26" s="1010"/>
      <c r="BA26" s="1010"/>
      <c r="BB26" s="1010"/>
    </row>
    <row r="27" spans="1:54" s="1090" customFormat="1">
      <c r="A27" s="1610"/>
      <c r="B27" s="1613"/>
      <c r="C27" s="1083" t="s">
        <v>1362</v>
      </c>
      <c r="D27" s="1010" t="s">
        <v>1340</v>
      </c>
      <c r="E27" s="1106">
        <v>0</v>
      </c>
      <c r="F27" s="1085" t="s">
        <v>235</v>
      </c>
      <c r="G27" s="1085"/>
      <c r="H27" s="1086">
        <v>0</v>
      </c>
      <c r="I27" s="1086" t="s">
        <v>235</v>
      </c>
      <c r="J27" s="1086"/>
      <c r="K27" s="1114" t="s">
        <v>1192</v>
      </c>
      <c r="L27" s="1101" t="s">
        <v>235</v>
      </c>
      <c r="M27" s="1101" t="s">
        <v>235</v>
      </c>
      <c r="N27" s="1091">
        <v>0</v>
      </c>
      <c r="O27" s="1091">
        <v>0</v>
      </c>
      <c r="P27" s="1010"/>
      <c r="Q27" s="1010"/>
      <c r="R27" s="1010"/>
      <c r="S27" s="1010"/>
      <c r="T27" s="1010"/>
      <c r="U27" s="1010"/>
      <c r="V27" s="1010"/>
      <c r="W27" s="1010"/>
      <c r="X27" s="1010"/>
      <c r="Y27" s="1010"/>
      <c r="Z27" s="1010"/>
      <c r="AA27" s="1010"/>
      <c r="AB27" s="1010"/>
      <c r="AC27" s="1010"/>
      <c r="AD27" s="1010"/>
      <c r="AE27" s="1010"/>
      <c r="AF27" s="1010"/>
      <c r="AG27" s="1010"/>
      <c r="AH27" s="1010"/>
      <c r="AI27" s="1010"/>
      <c r="AJ27" s="1010"/>
      <c r="AK27" s="1010"/>
      <c r="AL27" s="1010"/>
      <c r="AM27" s="1010"/>
      <c r="AN27" s="1010"/>
      <c r="AO27" s="1010"/>
      <c r="AP27" s="1010"/>
      <c r="AQ27" s="1010"/>
      <c r="AR27" s="1010"/>
      <c r="AS27" s="1010"/>
      <c r="AT27" s="1010"/>
      <c r="AU27" s="1010"/>
      <c r="AV27" s="1010"/>
      <c r="AW27" s="1010"/>
      <c r="AX27" s="1010"/>
      <c r="AY27" s="1010"/>
      <c r="AZ27" s="1010"/>
      <c r="BA27" s="1010"/>
      <c r="BB27" s="1010"/>
    </row>
    <row r="28" spans="1:54" s="1090" customFormat="1">
      <c r="A28" s="1610"/>
      <c r="B28" s="1613"/>
      <c r="C28" s="1083" t="s">
        <v>1342</v>
      </c>
      <c r="D28" s="1083" t="s">
        <v>1343</v>
      </c>
      <c r="E28" s="1084">
        <v>0</v>
      </c>
      <c r="F28" s="1085" t="s">
        <v>235</v>
      </c>
      <c r="G28" s="1085"/>
      <c r="H28" s="1091">
        <v>0</v>
      </c>
      <c r="I28" s="1091" t="s">
        <v>235</v>
      </c>
      <c r="J28" s="1091"/>
      <c r="K28" s="1114" t="s">
        <v>1181</v>
      </c>
      <c r="L28" s="1101" t="s">
        <v>235</v>
      </c>
      <c r="M28" s="1101" t="s">
        <v>235</v>
      </c>
      <c r="N28" s="1091">
        <v>0</v>
      </c>
      <c r="O28" s="1091">
        <v>0</v>
      </c>
      <c r="P28" s="1115"/>
      <c r="Q28" s="1010"/>
      <c r="R28" s="1010"/>
      <c r="S28" s="1010"/>
      <c r="T28" s="1010"/>
      <c r="U28" s="1010"/>
      <c r="V28" s="1010"/>
      <c r="W28" s="1010"/>
      <c r="X28" s="1010"/>
      <c r="Y28" s="1010"/>
      <c r="Z28" s="1010"/>
      <c r="AA28" s="1010"/>
      <c r="AB28" s="1010"/>
      <c r="AC28" s="1010"/>
      <c r="AD28" s="1010"/>
      <c r="AE28" s="1010"/>
      <c r="AF28" s="1010"/>
      <c r="AG28" s="1010"/>
      <c r="AH28" s="1010"/>
      <c r="AI28" s="1010"/>
      <c r="AJ28" s="1010"/>
      <c r="AK28" s="1010"/>
      <c r="AL28" s="1010"/>
      <c r="AM28" s="1010"/>
      <c r="AN28" s="1010"/>
      <c r="AO28" s="1010"/>
      <c r="AP28" s="1010"/>
      <c r="AQ28" s="1010"/>
      <c r="AR28" s="1010"/>
      <c r="AS28" s="1010"/>
      <c r="AT28" s="1010"/>
      <c r="AU28" s="1010"/>
      <c r="AV28" s="1010"/>
      <c r="AW28" s="1010"/>
      <c r="AX28" s="1010"/>
      <c r="AY28" s="1010"/>
      <c r="AZ28" s="1010"/>
      <c r="BA28" s="1010"/>
      <c r="BB28" s="1010"/>
    </row>
    <row r="29" spans="1:54" s="1090" customFormat="1">
      <c r="A29" s="1610"/>
      <c r="B29" s="1609"/>
      <c r="C29" s="1092" t="s">
        <v>1197</v>
      </c>
      <c r="D29" s="1092"/>
      <c r="E29" s="1109">
        <v>53</v>
      </c>
      <c r="F29" s="1110">
        <f>SUM(F25:F28)</f>
        <v>0</v>
      </c>
      <c r="G29" s="1110">
        <f>SUM(G25:G28)</f>
        <v>53</v>
      </c>
      <c r="H29" s="1111">
        <v>13.5983415</v>
      </c>
      <c r="I29" s="1111">
        <v>0</v>
      </c>
      <c r="J29" s="1111">
        <v>13.5983415</v>
      </c>
      <c r="K29" s="1112"/>
      <c r="L29" s="1109">
        <v>0</v>
      </c>
      <c r="M29" s="1109">
        <v>0</v>
      </c>
      <c r="N29" s="1109">
        <v>0.125</v>
      </c>
      <c r="O29" s="1113">
        <v>3.0824250000000001E-2</v>
      </c>
      <c r="P29" s="1115"/>
      <c r="Q29" s="1010"/>
      <c r="R29" s="1010"/>
      <c r="S29" s="1010"/>
      <c r="T29" s="1010"/>
      <c r="U29" s="1010"/>
      <c r="V29" s="1010"/>
      <c r="W29" s="1010"/>
      <c r="X29" s="1010"/>
      <c r="Y29" s="1010"/>
      <c r="Z29" s="1010"/>
      <c r="AA29" s="1010"/>
      <c r="AB29" s="1010"/>
      <c r="AC29" s="1010"/>
      <c r="AD29" s="1010"/>
      <c r="AE29" s="1010"/>
      <c r="AF29" s="1010"/>
      <c r="AG29" s="1010"/>
      <c r="AH29" s="1010"/>
      <c r="AI29" s="1010"/>
      <c r="AJ29" s="1010"/>
      <c r="AK29" s="1010"/>
      <c r="AL29" s="1010"/>
      <c r="AM29" s="1010"/>
      <c r="AN29" s="1010"/>
      <c r="AO29" s="1010"/>
      <c r="AP29" s="1010"/>
      <c r="AQ29" s="1010"/>
      <c r="AR29" s="1010"/>
      <c r="AS29" s="1010"/>
      <c r="AT29" s="1010"/>
      <c r="AU29" s="1010"/>
      <c r="AV29" s="1010"/>
      <c r="AW29" s="1010"/>
      <c r="AX29" s="1010"/>
      <c r="AY29" s="1010"/>
      <c r="AZ29" s="1010"/>
      <c r="BA29" s="1010"/>
      <c r="BB29" s="1010"/>
    </row>
    <row r="30" spans="1:54" s="1090" customFormat="1">
      <c r="A30" s="1610"/>
      <c r="B30" s="1608" t="s">
        <v>650</v>
      </c>
      <c r="C30" s="1083" t="s">
        <v>1356</v>
      </c>
      <c r="D30" s="1083"/>
      <c r="E30" s="1106">
        <v>191</v>
      </c>
      <c r="F30" s="1085">
        <v>46</v>
      </c>
      <c r="G30" s="1085">
        <v>0</v>
      </c>
      <c r="H30" s="1086">
        <v>13.771009999999999</v>
      </c>
      <c r="I30" s="1086">
        <v>3.2867099999999998</v>
      </c>
      <c r="J30" s="1086">
        <v>0</v>
      </c>
      <c r="K30" s="1114" t="s">
        <v>1363</v>
      </c>
      <c r="L30" s="1101" t="s">
        <v>235</v>
      </c>
      <c r="M30" s="1101" t="s">
        <v>235</v>
      </c>
      <c r="N30" s="1087">
        <v>0</v>
      </c>
      <c r="O30" s="1099">
        <v>0</v>
      </c>
      <c r="P30" s="1115"/>
      <c r="Q30" s="1010"/>
      <c r="R30" s="1010"/>
      <c r="S30" s="1010"/>
      <c r="T30" s="1010"/>
      <c r="U30" s="1010"/>
      <c r="V30" s="1010"/>
      <c r="W30" s="1010"/>
      <c r="X30" s="1010"/>
      <c r="Y30" s="1010"/>
      <c r="Z30" s="1010"/>
      <c r="AA30" s="1010"/>
      <c r="AB30" s="1010"/>
      <c r="AC30" s="1010"/>
      <c r="AD30" s="1010"/>
      <c r="AE30" s="1010"/>
      <c r="AF30" s="1010"/>
      <c r="AG30" s="1010"/>
      <c r="AH30" s="1010"/>
      <c r="AI30" s="1010"/>
      <c r="AJ30" s="1010"/>
      <c r="AK30" s="1010"/>
      <c r="AL30" s="1010"/>
      <c r="AM30" s="1010"/>
      <c r="AN30" s="1010"/>
      <c r="AO30" s="1010"/>
      <c r="AP30" s="1010"/>
      <c r="AQ30" s="1010"/>
      <c r="AR30" s="1010"/>
      <c r="AS30" s="1010"/>
      <c r="AT30" s="1010"/>
      <c r="AU30" s="1010"/>
      <c r="AV30" s="1010"/>
      <c r="AW30" s="1010"/>
      <c r="AX30" s="1010"/>
      <c r="AY30" s="1010"/>
      <c r="AZ30" s="1010"/>
      <c r="BA30" s="1010"/>
      <c r="BB30" s="1010"/>
    </row>
    <row r="31" spans="1:54" s="1090" customFormat="1">
      <c r="A31" s="1610"/>
      <c r="B31" s="1613"/>
      <c r="C31" s="1083" t="s">
        <v>1357</v>
      </c>
      <c r="D31" s="1083"/>
      <c r="E31" s="1106">
        <v>0</v>
      </c>
      <c r="F31" s="1085" t="s">
        <v>235</v>
      </c>
      <c r="G31" s="1085"/>
      <c r="H31" s="1086">
        <v>0</v>
      </c>
      <c r="I31" s="1086" t="s">
        <v>235</v>
      </c>
      <c r="J31" s="1086"/>
      <c r="K31" s="1114" t="s">
        <v>1363</v>
      </c>
      <c r="L31" s="1101" t="s">
        <v>235</v>
      </c>
      <c r="M31" s="1101" t="s">
        <v>235</v>
      </c>
      <c r="N31" s="1087">
        <v>0</v>
      </c>
      <c r="O31" s="1087">
        <v>0</v>
      </c>
      <c r="P31" s="1115"/>
      <c r="Q31" s="1010"/>
      <c r="R31" s="1010"/>
      <c r="S31" s="1010"/>
      <c r="T31" s="1010"/>
      <c r="U31" s="1010"/>
      <c r="V31" s="1010"/>
      <c r="W31" s="1010"/>
      <c r="X31" s="1010"/>
      <c r="Y31" s="1010"/>
      <c r="Z31" s="1010"/>
      <c r="AA31" s="1010"/>
      <c r="AB31" s="1010"/>
      <c r="AC31" s="1010"/>
      <c r="AD31" s="1010"/>
      <c r="AE31" s="1010"/>
      <c r="AF31" s="1010"/>
      <c r="AG31" s="1010"/>
      <c r="AH31" s="1010"/>
      <c r="AI31" s="1010"/>
      <c r="AJ31" s="1010"/>
      <c r="AK31" s="1010"/>
      <c r="AL31" s="1010"/>
      <c r="AM31" s="1010"/>
      <c r="AN31" s="1010"/>
      <c r="AO31" s="1010"/>
      <c r="AP31" s="1010"/>
      <c r="AQ31" s="1010"/>
      <c r="AR31" s="1010"/>
      <c r="AS31" s="1010"/>
      <c r="AT31" s="1010"/>
      <c r="AU31" s="1010"/>
      <c r="AV31" s="1010"/>
      <c r="AW31" s="1010"/>
      <c r="AX31" s="1010"/>
      <c r="AY31" s="1010"/>
      <c r="AZ31" s="1010"/>
      <c r="BA31" s="1010"/>
      <c r="BB31" s="1010"/>
    </row>
    <row r="32" spans="1:54" s="1090" customFormat="1">
      <c r="A32" s="1610"/>
      <c r="B32" s="1613"/>
      <c r="C32" s="1092" t="s">
        <v>1234</v>
      </c>
      <c r="D32" s="1092"/>
      <c r="E32" s="1109">
        <v>191</v>
      </c>
      <c r="F32" s="1094">
        <f>SUM(F30:F31)</f>
        <v>46</v>
      </c>
      <c r="G32" s="1094">
        <f>SUM(G30:G31)</f>
        <v>0</v>
      </c>
      <c r="H32" s="1111">
        <v>13.771009999999999</v>
      </c>
      <c r="I32" s="1113">
        <v>3.2867099999999998</v>
      </c>
      <c r="J32" s="1113">
        <v>0</v>
      </c>
      <c r="K32" s="1112"/>
      <c r="L32" s="1109">
        <v>0</v>
      </c>
      <c r="M32" s="1109">
        <v>0</v>
      </c>
      <c r="N32" s="1116">
        <v>0</v>
      </c>
      <c r="O32" s="1116">
        <v>0</v>
      </c>
      <c r="P32" s="1115"/>
      <c r="Q32" s="1010"/>
      <c r="R32" s="1010"/>
      <c r="S32" s="1010"/>
      <c r="T32" s="1010"/>
      <c r="U32" s="1010"/>
      <c r="V32" s="1010"/>
      <c r="W32" s="1010"/>
      <c r="X32" s="1010"/>
      <c r="Y32" s="1010"/>
      <c r="Z32" s="1010"/>
      <c r="AA32" s="1010"/>
      <c r="AB32" s="1010"/>
      <c r="AC32" s="1010"/>
      <c r="AD32" s="1010"/>
      <c r="AE32" s="1010"/>
      <c r="AF32" s="1010"/>
      <c r="AG32" s="1010"/>
      <c r="AH32" s="1010"/>
      <c r="AI32" s="1010"/>
      <c r="AJ32" s="1010"/>
      <c r="AK32" s="1010"/>
      <c r="AL32" s="1010"/>
      <c r="AM32" s="1010"/>
      <c r="AN32" s="1010"/>
      <c r="AO32" s="1010"/>
      <c r="AP32" s="1010"/>
      <c r="AQ32" s="1010"/>
      <c r="AR32" s="1010"/>
      <c r="AS32" s="1010"/>
      <c r="AT32" s="1010"/>
      <c r="AU32" s="1010"/>
      <c r="AV32" s="1010"/>
      <c r="AW32" s="1010"/>
      <c r="AX32" s="1010"/>
      <c r="AY32" s="1010"/>
      <c r="AZ32" s="1010"/>
      <c r="BA32" s="1010"/>
      <c r="BB32" s="1010"/>
    </row>
    <row r="33" spans="1:54" s="1090" customFormat="1">
      <c r="A33" s="1610"/>
      <c r="B33" s="1608" t="s">
        <v>1139</v>
      </c>
      <c r="C33" s="1083" t="s">
        <v>1203</v>
      </c>
      <c r="D33" s="1083" t="s">
        <v>1204</v>
      </c>
      <c r="E33" s="1106">
        <v>0</v>
      </c>
      <c r="F33" s="1085" t="s">
        <v>235</v>
      </c>
      <c r="G33" s="1085"/>
      <c r="H33" s="1086">
        <v>0</v>
      </c>
      <c r="I33" s="1086" t="s">
        <v>235</v>
      </c>
      <c r="J33" s="1086"/>
      <c r="K33" s="1114" t="s">
        <v>1192</v>
      </c>
      <c r="L33" s="1101" t="s">
        <v>235</v>
      </c>
      <c r="M33" s="1101" t="s">
        <v>235</v>
      </c>
      <c r="N33" s="1117" t="s">
        <v>235</v>
      </c>
      <c r="O33" s="1084" t="s">
        <v>235</v>
      </c>
      <c r="P33" s="1115"/>
      <c r="Q33" s="1010"/>
      <c r="R33" s="1010"/>
      <c r="S33" s="1010"/>
      <c r="T33" s="1010"/>
      <c r="U33" s="1010"/>
      <c r="V33" s="1010"/>
      <c r="W33" s="1010"/>
      <c r="X33" s="1010"/>
      <c r="Y33" s="1010"/>
      <c r="Z33" s="1010"/>
      <c r="AA33" s="1010"/>
      <c r="AB33" s="1010"/>
      <c r="AC33" s="1010"/>
      <c r="AD33" s="1010"/>
      <c r="AE33" s="1010"/>
      <c r="AF33" s="1010"/>
      <c r="AG33" s="1010"/>
      <c r="AH33" s="1010"/>
      <c r="AI33" s="1010"/>
      <c r="AJ33" s="1010"/>
      <c r="AK33" s="1010"/>
      <c r="AL33" s="1010"/>
      <c r="AM33" s="1010"/>
      <c r="AN33" s="1010"/>
      <c r="AO33" s="1010"/>
      <c r="AP33" s="1010"/>
      <c r="AQ33" s="1010"/>
      <c r="AR33" s="1010"/>
      <c r="AS33" s="1010"/>
      <c r="AT33" s="1010"/>
      <c r="AU33" s="1010"/>
      <c r="AV33" s="1010"/>
      <c r="AW33" s="1010"/>
      <c r="AX33" s="1010"/>
      <c r="AY33" s="1010"/>
      <c r="AZ33" s="1010"/>
      <c r="BA33" s="1010"/>
      <c r="BB33" s="1010"/>
    </row>
    <row r="34" spans="1:54" s="1090" customFormat="1">
      <c r="A34" s="1610"/>
      <c r="B34" s="1609"/>
      <c r="C34" s="1092" t="s">
        <v>1320</v>
      </c>
      <c r="D34" s="1092"/>
      <c r="E34" s="1109">
        <v>0</v>
      </c>
      <c r="F34" s="1110">
        <f>SUM(F33)</f>
        <v>0</v>
      </c>
      <c r="G34" s="1110">
        <f>SUM(G33)</f>
        <v>0</v>
      </c>
      <c r="H34" s="1111">
        <v>0</v>
      </c>
      <c r="I34" s="1111">
        <v>0</v>
      </c>
      <c r="J34" s="1111">
        <v>0</v>
      </c>
      <c r="K34" s="1112"/>
      <c r="L34" s="1109">
        <v>0</v>
      </c>
      <c r="M34" s="1109">
        <v>0</v>
      </c>
      <c r="N34" s="1116">
        <v>0</v>
      </c>
      <c r="O34" s="1109">
        <v>0</v>
      </c>
      <c r="P34" s="1115"/>
      <c r="Q34" s="1010"/>
      <c r="R34" s="1010"/>
      <c r="S34" s="1010"/>
      <c r="T34" s="1010"/>
      <c r="U34" s="1010"/>
      <c r="V34" s="1010"/>
      <c r="W34" s="1010"/>
      <c r="X34" s="1010"/>
      <c r="Y34" s="1010"/>
      <c r="Z34" s="1010"/>
      <c r="AA34" s="1010"/>
      <c r="AB34" s="1010"/>
      <c r="AC34" s="1010"/>
      <c r="AD34" s="1010"/>
      <c r="AE34" s="1010"/>
      <c r="AF34" s="1010"/>
      <c r="AG34" s="1010"/>
      <c r="AH34" s="1010"/>
      <c r="AI34" s="1010"/>
      <c r="AJ34" s="1010"/>
      <c r="AK34" s="1010"/>
      <c r="AL34" s="1010"/>
      <c r="AM34" s="1010"/>
      <c r="AN34" s="1010"/>
      <c r="AO34" s="1010"/>
      <c r="AP34" s="1010"/>
      <c r="AQ34" s="1010"/>
      <c r="AR34" s="1010"/>
      <c r="AS34" s="1010"/>
      <c r="AT34" s="1010"/>
      <c r="AU34" s="1010"/>
      <c r="AV34" s="1010"/>
      <c r="AW34" s="1010"/>
      <c r="AX34" s="1010"/>
      <c r="AY34" s="1010"/>
      <c r="AZ34" s="1010"/>
      <c r="BA34" s="1010"/>
      <c r="BB34" s="1010"/>
    </row>
    <row r="35" spans="1:54" s="1090" customFormat="1">
      <c r="A35" s="1611"/>
      <c r="B35" s="1118" t="s">
        <v>1364</v>
      </c>
      <c r="C35" s="1108"/>
      <c r="D35" s="1108"/>
      <c r="E35" s="1109">
        <v>244</v>
      </c>
      <c r="F35" s="1110">
        <f>F29+F32+F34</f>
        <v>46</v>
      </c>
      <c r="G35" s="1110">
        <f>G29+G32+G34</f>
        <v>53</v>
      </c>
      <c r="H35" s="1111">
        <v>27.3693515</v>
      </c>
      <c r="I35" s="1113">
        <v>3.2867099999999998</v>
      </c>
      <c r="J35" s="1113">
        <v>13.5983415</v>
      </c>
      <c r="K35" s="1112"/>
      <c r="L35" s="1111">
        <v>0</v>
      </c>
      <c r="M35" s="1111">
        <v>0</v>
      </c>
      <c r="N35" s="1116">
        <v>0.125</v>
      </c>
      <c r="O35" s="1111">
        <v>3.0824250000000001E-2</v>
      </c>
      <c r="P35" s="1115"/>
      <c r="Q35" s="1010"/>
      <c r="R35" s="1010"/>
      <c r="S35" s="1010"/>
      <c r="T35" s="1010"/>
      <c r="U35" s="1010"/>
      <c r="V35" s="1010"/>
      <c r="W35" s="1010"/>
      <c r="X35" s="1010"/>
      <c r="Y35" s="1010"/>
      <c r="Z35" s="1010"/>
      <c r="AA35" s="1010"/>
      <c r="AB35" s="1010"/>
      <c r="AC35" s="1010"/>
      <c r="AD35" s="1010"/>
      <c r="AE35" s="1010"/>
      <c r="AF35" s="1010"/>
      <c r="AG35" s="1010"/>
      <c r="AH35" s="1010"/>
      <c r="AI35" s="1010"/>
      <c r="AJ35" s="1010"/>
      <c r="AK35" s="1010"/>
      <c r="AL35" s="1010"/>
      <c r="AM35" s="1010"/>
      <c r="AN35" s="1010"/>
      <c r="AO35" s="1010"/>
      <c r="AP35" s="1010"/>
      <c r="AQ35" s="1010"/>
      <c r="AR35" s="1010"/>
      <c r="AS35" s="1010"/>
      <c r="AT35" s="1010"/>
      <c r="AU35" s="1010"/>
      <c r="AV35" s="1010"/>
      <c r="AW35" s="1010"/>
      <c r="AX35" s="1010"/>
      <c r="AY35" s="1010"/>
      <c r="AZ35" s="1010"/>
      <c r="BA35" s="1010"/>
      <c r="BB35" s="1010"/>
    </row>
    <row r="36" spans="1:54" s="1090" customFormat="1">
      <c r="A36" s="1608" t="s">
        <v>1365</v>
      </c>
      <c r="B36" s="1608" t="s">
        <v>1360</v>
      </c>
      <c r="C36" s="1083" t="s">
        <v>1179</v>
      </c>
      <c r="D36" s="1083" t="s">
        <v>1340</v>
      </c>
      <c r="E36" s="1084">
        <v>0</v>
      </c>
      <c r="F36" s="1084">
        <v>0</v>
      </c>
      <c r="G36" s="1084">
        <v>0</v>
      </c>
      <c r="H36" s="1102">
        <v>0</v>
      </c>
      <c r="I36" s="1102">
        <v>0</v>
      </c>
      <c r="J36" s="1102">
        <v>0</v>
      </c>
      <c r="K36" s="1087" t="s">
        <v>1181</v>
      </c>
      <c r="L36" s="1101" t="s">
        <v>223</v>
      </c>
      <c r="M36" s="1101" t="s">
        <v>223</v>
      </c>
      <c r="N36" s="1119">
        <v>0</v>
      </c>
      <c r="O36" s="1119">
        <v>0</v>
      </c>
      <c r="P36" s="1115"/>
      <c r="Q36" s="1010"/>
      <c r="R36" s="1010"/>
      <c r="S36" s="1010"/>
      <c r="T36" s="1010"/>
      <c r="U36" s="1010"/>
      <c r="V36" s="1010"/>
      <c r="W36" s="1010"/>
      <c r="X36" s="1010"/>
      <c r="Y36" s="1010"/>
      <c r="Z36" s="1010"/>
      <c r="AA36" s="1010"/>
      <c r="AB36" s="1010"/>
      <c r="AC36" s="1010"/>
      <c r="AD36" s="1010"/>
      <c r="AE36" s="1010"/>
      <c r="AF36" s="1010"/>
      <c r="AG36" s="1010"/>
      <c r="AH36" s="1010"/>
      <c r="AI36" s="1010"/>
      <c r="AJ36" s="1010"/>
      <c r="AK36" s="1010"/>
      <c r="AL36" s="1010"/>
      <c r="AM36" s="1010"/>
      <c r="AN36" s="1010"/>
      <c r="AO36" s="1010"/>
      <c r="AP36" s="1010"/>
      <c r="AQ36" s="1010"/>
      <c r="AR36" s="1010"/>
      <c r="AS36" s="1010"/>
      <c r="AT36" s="1010"/>
      <c r="AU36" s="1010"/>
      <c r="AV36" s="1010"/>
      <c r="AW36" s="1010"/>
      <c r="AX36" s="1010"/>
      <c r="AY36" s="1010"/>
      <c r="AZ36" s="1010"/>
      <c r="BA36" s="1010"/>
      <c r="BB36" s="1010"/>
    </row>
    <row r="37" spans="1:54" s="1090" customFormat="1">
      <c r="A37" s="1610"/>
      <c r="B37" s="1613"/>
      <c r="C37" s="1083" t="s">
        <v>1182</v>
      </c>
      <c r="D37" s="1083" t="s">
        <v>1343</v>
      </c>
      <c r="E37" s="1084">
        <v>0</v>
      </c>
      <c r="F37" s="1084">
        <v>0</v>
      </c>
      <c r="G37" s="1084">
        <v>0</v>
      </c>
      <c r="H37" s="1102">
        <v>0</v>
      </c>
      <c r="I37" s="1102">
        <v>0</v>
      </c>
      <c r="J37" s="1102">
        <v>0</v>
      </c>
      <c r="K37" s="1087" t="s">
        <v>1181</v>
      </c>
      <c r="L37" s="1101" t="s">
        <v>223</v>
      </c>
      <c r="M37" s="1101" t="s">
        <v>223</v>
      </c>
      <c r="N37" s="1119">
        <v>0</v>
      </c>
      <c r="O37" s="1119">
        <v>0</v>
      </c>
      <c r="P37" s="1115"/>
      <c r="Q37" s="1010"/>
      <c r="R37" s="1010"/>
      <c r="S37" s="1010"/>
      <c r="T37" s="1010"/>
      <c r="U37" s="1010"/>
      <c r="V37" s="1010"/>
      <c r="W37" s="1010"/>
      <c r="X37" s="1010"/>
      <c r="Y37" s="1010"/>
      <c r="Z37" s="1010"/>
      <c r="AA37" s="1010"/>
      <c r="AB37" s="1010"/>
      <c r="AC37" s="1010"/>
      <c r="AD37" s="1010"/>
      <c r="AE37" s="1010"/>
      <c r="AF37" s="1010"/>
      <c r="AG37" s="1010"/>
      <c r="AH37" s="1010"/>
      <c r="AI37" s="1010"/>
      <c r="AJ37" s="1010"/>
      <c r="AK37" s="1010"/>
      <c r="AL37" s="1010"/>
      <c r="AM37" s="1010"/>
      <c r="AN37" s="1010"/>
      <c r="AO37" s="1010"/>
      <c r="AP37" s="1010"/>
      <c r="AQ37" s="1010"/>
      <c r="AR37" s="1010"/>
      <c r="AS37" s="1010"/>
      <c r="AT37" s="1010"/>
      <c r="AU37" s="1010"/>
      <c r="AV37" s="1010"/>
      <c r="AW37" s="1010"/>
      <c r="AX37" s="1010"/>
      <c r="AY37" s="1010"/>
      <c r="AZ37" s="1010"/>
      <c r="BA37" s="1010"/>
      <c r="BB37" s="1010"/>
    </row>
    <row r="38" spans="1:54" s="1090" customFormat="1">
      <c r="A38" s="1610"/>
      <c r="B38" s="1613"/>
      <c r="C38" s="1083" t="s">
        <v>1366</v>
      </c>
      <c r="D38" s="1083" t="s">
        <v>1367</v>
      </c>
      <c r="E38" s="1084">
        <v>0</v>
      </c>
      <c r="F38" s="1084">
        <v>0</v>
      </c>
      <c r="G38" s="1084">
        <v>0</v>
      </c>
      <c r="H38" s="1102">
        <v>0</v>
      </c>
      <c r="I38" s="1102">
        <v>0</v>
      </c>
      <c r="J38" s="1102">
        <v>0</v>
      </c>
      <c r="K38" s="1087" t="s">
        <v>1368</v>
      </c>
      <c r="L38" s="1101" t="s">
        <v>223</v>
      </c>
      <c r="M38" s="1101" t="s">
        <v>223</v>
      </c>
      <c r="N38" s="1119">
        <v>0</v>
      </c>
      <c r="O38" s="1119">
        <v>0</v>
      </c>
      <c r="P38" s="1115"/>
      <c r="Q38" s="1010"/>
      <c r="R38" s="1010"/>
      <c r="S38" s="1010"/>
      <c r="T38" s="1010"/>
      <c r="U38" s="1010"/>
      <c r="V38" s="1010"/>
      <c r="W38" s="1010"/>
      <c r="X38" s="1010"/>
      <c r="Y38" s="1010"/>
      <c r="Z38" s="1010"/>
      <c r="AA38" s="1010"/>
      <c r="AB38" s="1010"/>
      <c r="AC38" s="1010"/>
      <c r="AD38" s="1010"/>
      <c r="AE38" s="1010"/>
      <c r="AF38" s="1010"/>
      <c r="AG38" s="1010"/>
      <c r="AH38" s="1010"/>
      <c r="AI38" s="1010"/>
      <c r="AJ38" s="1010"/>
      <c r="AK38" s="1010"/>
      <c r="AL38" s="1010"/>
      <c r="AM38" s="1010"/>
      <c r="AN38" s="1010"/>
      <c r="AO38" s="1010"/>
      <c r="AP38" s="1010"/>
      <c r="AQ38" s="1010"/>
      <c r="AR38" s="1010"/>
      <c r="AS38" s="1010"/>
      <c r="AT38" s="1010"/>
      <c r="AU38" s="1010"/>
      <c r="AV38" s="1010"/>
      <c r="AW38" s="1010"/>
      <c r="AX38" s="1010"/>
      <c r="AY38" s="1010"/>
      <c r="AZ38" s="1010"/>
      <c r="BA38" s="1010"/>
      <c r="BB38" s="1010"/>
    </row>
    <row r="39" spans="1:54" s="1090" customFormat="1">
      <c r="A39" s="1610"/>
      <c r="B39" s="1613"/>
      <c r="C39" s="1083" t="s">
        <v>1190</v>
      </c>
      <c r="D39" s="1083" t="s">
        <v>1341</v>
      </c>
      <c r="E39" s="1119">
        <v>61</v>
      </c>
      <c r="F39" s="1119">
        <v>14</v>
      </c>
      <c r="G39" s="1119">
        <v>12</v>
      </c>
      <c r="H39" s="1102">
        <v>15.941579999999997</v>
      </c>
      <c r="I39" s="1102">
        <v>3.7438079999999996</v>
      </c>
      <c r="J39" s="1102">
        <v>3.0004200000000005</v>
      </c>
      <c r="K39" s="1087" t="s">
        <v>1192</v>
      </c>
      <c r="L39" s="1084">
        <v>83550</v>
      </c>
      <c r="M39" s="1084">
        <v>85275</v>
      </c>
      <c r="N39" s="1102">
        <v>0.47619047619047616</v>
      </c>
      <c r="O39" s="1102">
        <v>0.11818814285714285</v>
      </c>
      <c r="P39" s="1115"/>
      <c r="Q39" s="1010"/>
      <c r="R39" s="1010"/>
      <c r="S39" s="1010"/>
      <c r="T39" s="1010"/>
      <c r="U39" s="1010"/>
      <c r="V39" s="1010"/>
      <c r="W39" s="1010"/>
      <c r="X39" s="1010"/>
      <c r="Y39" s="1010"/>
      <c r="Z39" s="1010"/>
      <c r="AA39" s="1010"/>
      <c r="AB39" s="1010"/>
      <c r="AC39" s="1010"/>
      <c r="AD39" s="1010"/>
      <c r="AE39" s="1010"/>
      <c r="AF39" s="1010"/>
      <c r="AG39" s="1010"/>
      <c r="AH39" s="1010"/>
      <c r="AI39" s="1010"/>
      <c r="AJ39" s="1010"/>
      <c r="AK39" s="1010"/>
      <c r="AL39" s="1010"/>
      <c r="AM39" s="1010"/>
      <c r="AN39" s="1010"/>
      <c r="AO39" s="1010"/>
      <c r="AP39" s="1010"/>
      <c r="AQ39" s="1010"/>
      <c r="AR39" s="1010"/>
      <c r="AS39" s="1010"/>
      <c r="AT39" s="1010"/>
      <c r="AU39" s="1010"/>
      <c r="AV39" s="1010"/>
      <c r="AW39" s="1010"/>
      <c r="AX39" s="1010"/>
      <c r="AY39" s="1010"/>
      <c r="AZ39" s="1010"/>
      <c r="BA39" s="1010"/>
      <c r="BB39" s="1010"/>
    </row>
    <row r="40" spans="1:54" s="1090" customFormat="1">
      <c r="A40" s="1610"/>
      <c r="B40" s="1613"/>
      <c r="C40" s="1083" t="s">
        <v>1369</v>
      </c>
      <c r="D40" s="1083" t="s">
        <v>1370</v>
      </c>
      <c r="E40" s="1119">
        <v>0</v>
      </c>
      <c r="F40" s="1119">
        <v>0</v>
      </c>
      <c r="G40" s="1119">
        <v>0</v>
      </c>
      <c r="H40" s="1102">
        <v>0</v>
      </c>
      <c r="I40" s="1102">
        <v>0</v>
      </c>
      <c r="J40" s="1102">
        <v>0</v>
      </c>
      <c r="K40" s="1120" t="s">
        <v>1370</v>
      </c>
      <c r="L40" s="1101" t="s">
        <v>223</v>
      </c>
      <c r="M40" s="1101" t="s">
        <v>223</v>
      </c>
      <c r="N40" s="1119">
        <v>0</v>
      </c>
      <c r="O40" s="1119">
        <v>0</v>
      </c>
      <c r="P40" s="1115"/>
      <c r="Q40" s="1010"/>
      <c r="R40" s="1010"/>
      <c r="S40" s="1010"/>
      <c r="T40" s="1010"/>
      <c r="U40" s="1010"/>
      <c r="V40" s="1010"/>
      <c r="W40" s="1010"/>
      <c r="X40" s="1010"/>
      <c r="Y40" s="1010"/>
      <c r="Z40" s="1010"/>
      <c r="AA40" s="1010"/>
      <c r="AB40" s="1010"/>
      <c r="AC40" s="1010"/>
      <c r="AD40" s="1010"/>
      <c r="AE40" s="1010"/>
      <c r="AF40" s="1010"/>
      <c r="AG40" s="1010"/>
      <c r="AH40" s="1010"/>
      <c r="AI40" s="1010"/>
      <c r="AJ40" s="1010"/>
      <c r="AK40" s="1010"/>
      <c r="AL40" s="1010"/>
      <c r="AM40" s="1010"/>
      <c r="AN40" s="1010"/>
      <c r="AO40" s="1010"/>
      <c r="AP40" s="1010"/>
      <c r="AQ40" s="1010"/>
      <c r="AR40" s="1010"/>
      <c r="AS40" s="1010"/>
      <c r="AT40" s="1010"/>
      <c r="AU40" s="1010"/>
      <c r="AV40" s="1010"/>
      <c r="AW40" s="1010"/>
      <c r="AX40" s="1010"/>
      <c r="AY40" s="1010"/>
      <c r="AZ40" s="1010"/>
      <c r="BA40" s="1010"/>
      <c r="BB40" s="1010"/>
    </row>
    <row r="41" spans="1:54" s="1090" customFormat="1">
      <c r="A41" s="1610"/>
      <c r="B41" s="1613"/>
      <c r="C41" s="1083" t="s">
        <v>1371</v>
      </c>
      <c r="D41" s="1083" t="s">
        <v>1340</v>
      </c>
      <c r="E41" s="1119">
        <v>0</v>
      </c>
      <c r="F41" s="1119">
        <v>0</v>
      </c>
      <c r="G41" s="1119">
        <v>0</v>
      </c>
      <c r="H41" s="1102">
        <v>0</v>
      </c>
      <c r="I41" s="1102">
        <v>0</v>
      </c>
      <c r="J41" s="1102">
        <v>0</v>
      </c>
      <c r="K41" s="1120" t="s">
        <v>1340</v>
      </c>
      <c r="L41" s="1101" t="s">
        <v>223</v>
      </c>
      <c r="M41" s="1101" t="s">
        <v>223</v>
      </c>
      <c r="N41" s="1119">
        <v>0</v>
      </c>
      <c r="O41" s="1119">
        <v>0</v>
      </c>
      <c r="P41" s="1115"/>
      <c r="Q41" s="1010"/>
      <c r="R41" s="1010"/>
      <c r="S41" s="1010"/>
      <c r="T41" s="1010"/>
      <c r="U41" s="1010"/>
      <c r="V41" s="1010"/>
      <c r="W41" s="1010"/>
      <c r="X41" s="1010"/>
      <c r="Y41" s="1010"/>
      <c r="Z41" s="1010"/>
      <c r="AA41" s="1010"/>
      <c r="AB41" s="1010"/>
      <c r="AC41" s="1010"/>
      <c r="AD41" s="1010"/>
      <c r="AE41" s="1010"/>
      <c r="AF41" s="1010"/>
      <c r="AG41" s="1010"/>
      <c r="AH41" s="1010"/>
      <c r="AI41" s="1010"/>
      <c r="AJ41" s="1010"/>
      <c r="AK41" s="1010"/>
      <c r="AL41" s="1010"/>
      <c r="AM41" s="1010"/>
      <c r="AN41" s="1010"/>
      <c r="AO41" s="1010"/>
      <c r="AP41" s="1010"/>
      <c r="AQ41" s="1010"/>
      <c r="AR41" s="1010"/>
      <c r="AS41" s="1010"/>
      <c r="AT41" s="1010"/>
      <c r="AU41" s="1010"/>
      <c r="AV41" s="1010"/>
      <c r="AW41" s="1010"/>
      <c r="AX41" s="1010"/>
      <c r="AY41" s="1010"/>
      <c r="AZ41" s="1010"/>
      <c r="BA41" s="1010"/>
      <c r="BB41" s="1010"/>
    </row>
    <row r="42" spans="1:54" s="1090" customFormat="1">
      <c r="A42" s="1610"/>
      <c r="B42" s="1609"/>
      <c r="C42" s="1092" t="s">
        <v>1197</v>
      </c>
      <c r="D42" s="1092"/>
      <c r="E42" s="1109">
        <v>61</v>
      </c>
      <c r="F42" s="1109">
        <v>14</v>
      </c>
      <c r="G42" s="1109">
        <v>12</v>
      </c>
      <c r="H42" s="1113">
        <v>15.941579999999997</v>
      </c>
      <c r="I42" s="1113">
        <v>3.7438079999999996</v>
      </c>
      <c r="J42" s="1113">
        <v>3.0004200000000005</v>
      </c>
      <c r="K42" s="1112"/>
      <c r="L42" s="1113"/>
      <c r="M42" s="1113"/>
      <c r="N42" s="1113">
        <v>0.48</v>
      </c>
      <c r="O42" s="1113">
        <v>0.12</v>
      </c>
      <c r="P42" s="1115"/>
      <c r="Q42" s="1010"/>
      <c r="R42" s="1010"/>
      <c r="S42" s="1010"/>
      <c r="T42" s="1010"/>
      <c r="U42" s="1010"/>
      <c r="V42" s="1010"/>
      <c r="W42" s="1010"/>
      <c r="X42" s="1010"/>
      <c r="Y42" s="1010"/>
      <c r="Z42" s="1010"/>
      <c r="AA42" s="1010"/>
      <c r="AB42" s="1010"/>
      <c r="AC42" s="1010"/>
      <c r="AD42" s="1010"/>
      <c r="AE42" s="1010"/>
      <c r="AF42" s="1010"/>
      <c r="AG42" s="1010"/>
      <c r="AH42" s="1010"/>
      <c r="AI42" s="1010"/>
      <c r="AJ42" s="1010"/>
      <c r="AK42" s="1010"/>
      <c r="AL42" s="1010"/>
      <c r="AM42" s="1010"/>
      <c r="AN42" s="1010"/>
      <c r="AO42" s="1010"/>
      <c r="AP42" s="1010"/>
      <c r="AQ42" s="1010"/>
      <c r="AR42" s="1010"/>
      <c r="AS42" s="1010"/>
      <c r="AT42" s="1010"/>
      <c r="AU42" s="1010"/>
      <c r="AV42" s="1010"/>
      <c r="AW42" s="1010"/>
      <c r="AX42" s="1010"/>
      <c r="AY42" s="1010"/>
      <c r="AZ42" s="1010"/>
      <c r="BA42" s="1010"/>
      <c r="BB42" s="1010"/>
    </row>
    <row r="43" spans="1:54" s="1090" customFormat="1">
      <c r="A43" s="1610"/>
      <c r="B43" s="1608" t="s">
        <v>1372</v>
      </c>
      <c r="C43" s="1083" t="s">
        <v>1373</v>
      </c>
      <c r="D43" s="1083" t="s">
        <v>1374</v>
      </c>
      <c r="E43" s="1084">
        <v>0</v>
      </c>
      <c r="F43" s="1084">
        <v>0</v>
      </c>
      <c r="G43" s="1084">
        <v>0</v>
      </c>
      <c r="H43" s="1102">
        <v>0</v>
      </c>
      <c r="I43" s="1102">
        <v>0</v>
      </c>
      <c r="J43" s="1102">
        <v>0</v>
      </c>
      <c r="K43" s="1087" t="s">
        <v>1226</v>
      </c>
      <c r="L43" s="1101" t="s">
        <v>223</v>
      </c>
      <c r="M43" s="1101" t="s">
        <v>223</v>
      </c>
      <c r="N43" s="1119">
        <v>0</v>
      </c>
      <c r="O43" s="1119">
        <v>0</v>
      </c>
      <c r="P43" s="1115"/>
      <c r="Q43" s="1010"/>
      <c r="R43" s="1010"/>
      <c r="S43" s="1010"/>
      <c r="T43" s="1010"/>
      <c r="U43" s="1010"/>
      <c r="V43" s="1010"/>
      <c r="W43" s="1010"/>
      <c r="X43" s="1010"/>
      <c r="Y43" s="1010"/>
      <c r="Z43" s="1010"/>
      <c r="AA43" s="1010"/>
      <c r="AB43" s="1010"/>
      <c r="AC43" s="1010"/>
      <c r="AD43" s="1010"/>
      <c r="AE43" s="1010"/>
      <c r="AF43" s="1010"/>
      <c r="AG43" s="1010"/>
      <c r="AH43" s="1010"/>
      <c r="AI43" s="1010"/>
      <c r="AJ43" s="1010"/>
      <c r="AK43" s="1010"/>
      <c r="AL43" s="1010"/>
      <c r="AM43" s="1010"/>
      <c r="AN43" s="1010"/>
      <c r="AO43" s="1010"/>
      <c r="AP43" s="1010"/>
      <c r="AQ43" s="1010"/>
      <c r="AR43" s="1010"/>
      <c r="AS43" s="1010"/>
      <c r="AT43" s="1010"/>
      <c r="AU43" s="1010"/>
      <c r="AV43" s="1010"/>
      <c r="AW43" s="1010"/>
      <c r="AX43" s="1010"/>
      <c r="AY43" s="1010"/>
      <c r="AZ43" s="1010"/>
      <c r="BA43" s="1010"/>
      <c r="BB43" s="1010"/>
    </row>
    <row r="44" spans="1:54" s="1090" customFormat="1">
      <c r="A44" s="1610"/>
      <c r="B44" s="1613"/>
      <c r="C44" s="1083" t="s">
        <v>1375</v>
      </c>
      <c r="D44" s="1083" t="s">
        <v>1376</v>
      </c>
      <c r="E44" s="1084">
        <v>0</v>
      </c>
      <c r="F44" s="1084">
        <v>0</v>
      </c>
      <c r="G44" s="1084">
        <v>0</v>
      </c>
      <c r="H44" s="1102">
        <v>0</v>
      </c>
      <c r="I44" s="1102">
        <v>0</v>
      </c>
      <c r="J44" s="1102">
        <v>0</v>
      </c>
      <c r="K44" s="1087" t="s">
        <v>1226</v>
      </c>
      <c r="L44" s="1101" t="s">
        <v>223</v>
      </c>
      <c r="M44" s="1101" t="s">
        <v>223</v>
      </c>
      <c r="N44" s="1119">
        <v>0</v>
      </c>
      <c r="O44" s="1119">
        <v>0</v>
      </c>
      <c r="P44" s="1115"/>
      <c r="Q44" s="1010"/>
      <c r="R44" s="1010"/>
      <c r="S44" s="1010"/>
      <c r="T44" s="1010"/>
      <c r="U44" s="1010"/>
      <c r="V44" s="1010"/>
      <c r="W44" s="1010"/>
      <c r="X44" s="1010"/>
      <c r="Y44" s="1010"/>
      <c r="Z44" s="1010"/>
      <c r="AA44" s="1010"/>
      <c r="AB44" s="1010"/>
      <c r="AC44" s="1010"/>
      <c r="AD44" s="1010"/>
      <c r="AE44" s="1010"/>
      <c r="AF44" s="1010"/>
      <c r="AG44" s="1010"/>
      <c r="AH44" s="1010"/>
      <c r="AI44" s="1010"/>
      <c r="AJ44" s="1010"/>
      <c r="AK44" s="1010"/>
      <c r="AL44" s="1010"/>
      <c r="AM44" s="1010"/>
      <c r="AN44" s="1010"/>
      <c r="AO44" s="1010"/>
      <c r="AP44" s="1010"/>
      <c r="AQ44" s="1010"/>
      <c r="AR44" s="1010"/>
      <c r="AS44" s="1010"/>
      <c r="AT44" s="1010"/>
      <c r="AU44" s="1010"/>
      <c r="AV44" s="1010"/>
      <c r="AW44" s="1010"/>
      <c r="AX44" s="1010"/>
      <c r="AY44" s="1010"/>
      <c r="AZ44" s="1010"/>
      <c r="BA44" s="1010"/>
      <c r="BB44" s="1010"/>
    </row>
    <row r="45" spans="1:54" s="1090" customFormat="1">
      <c r="A45" s="1610"/>
      <c r="B45" s="1613"/>
      <c r="C45" s="1083" t="s">
        <v>1377</v>
      </c>
      <c r="D45" s="1083" t="s">
        <v>1230</v>
      </c>
      <c r="E45" s="1084">
        <v>132</v>
      </c>
      <c r="F45" s="1084">
        <v>31</v>
      </c>
      <c r="G45" s="1084">
        <v>69</v>
      </c>
      <c r="H45" s="1102">
        <v>2.8906125</v>
      </c>
      <c r="I45" s="1102">
        <v>0.68291250000000003</v>
      </c>
      <c r="J45" s="1102">
        <v>1.6130125</v>
      </c>
      <c r="K45" s="1087" t="s">
        <v>1231</v>
      </c>
      <c r="L45" s="1101" t="s">
        <v>223</v>
      </c>
      <c r="M45" s="1101" t="s">
        <v>223</v>
      </c>
      <c r="N45" s="1102">
        <v>25.095238095238095</v>
      </c>
      <c r="O45" s="1102">
        <v>0.53837202380952387</v>
      </c>
      <c r="P45" s="1115"/>
      <c r="Q45" s="1010"/>
      <c r="R45" s="1010"/>
      <c r="S45" s="1010"/>
      <c r="T45" s="1010"/>
      <c r="U45" s="1010"/>
      <c r="V45" s="1010"/>
      <c r="W45" s="1010"/>
      <c r="X45" s="1010"/>
      <c r="Y45" s="1010"/>
      <c r="Z45" s="1010"/>
      <c r="AA45" s="1010"/>
      <c r="AB45" s="1010"/>
      <c r="AC45" s="1010"/>
      <c r="AD45" s="1010"/>
      <c r="AE45" s="1010"/>
      <c r="AF45" s="1010"/>
      <c r="AG45" s="1010"/>
      <c r="AH45" s="1010"/>
      <c r="AI45" s="1010"/>
      <c r="AJ45" s="1010"/>
      <c r="AK45" s="1010"/>
      <c r="AL45" s="1010"/>
      <c r="AM45" s="1010"/>
      <c r="AN45" s="1010"/>
      <c r="AO45" s="1010"/>
      <c r="AP45" s="1010"/>
      <c r="AQ45" s="1010"/>
      <c r="AR45" s="1010"/>
      <c r="AS45" s="1010"/>
      <c r="AT45" s="1010"/>
      <c r="AU45" s="1010"/>
      <c r="AV45" s="1010"/>
      <c r="AW45" s="1010"/>
      <c r="AX45" s="1010"/>
      <c r="AY45" s="1010"/>
      <c r="AZ45" s="1010"/>
      <c r="BA45" s="1010"/>
      <c r="BB45" s="1010"/>
    </row>
    <row r="46" spans="1:54" s="1090" customFormat="1">
      <c r="A46" s="1610"/>
      <c r="B46" s="1613"/>
      <c r="C46" s="1083" t="s">
        <v>1357</v>
      </c>
      <c r="D46" s="1083" t="s">
        <v>1378</v>
      </c>
      <c r="E46" s="1084">
        <v>683</v>
      </c>
      <c r="F46" s="1084">
        <v>99</v>
      </c>
      <c r="G46" s="1084">
        <v>205</v>
      </c>
      <c r="H46" s="1102">
        <v>45.143499999999975</v>
      </c>
      <c r="I46" s="1102">
        <v>6.7068600000000007</v>
      </c>
      <c r="J46" s="1102">
        <v>12.923690000000002</v>
      </c>
      <c r="K46" s="1087" t="s">
        <v>1226</v>
      </c>
      <c r="L46" s="1084">
        <v>6437</v>
      </c>
      <c r="M46" s="1084" t="s">
        <v>223</v>
      </c>
      <c r="N46" s="1102">
        <v>69.095238095238102</v>
      </c>
      <c r="O46" s="1102">
        <v>4.3979285714285723</v>
      </c>
      <c r="P46" s="1115"/>
      <c r="Q46" s="1010"/>
      <c r="R46" s="1010"/>
      <c r="S46" s="1010"/>
      <c r="T46" s="1010"/>
      <c r="U46" s="1010"/>
      <c r="V46" s="1010"/>
      <c r="W46" s="1010"/>
      <c r="X46" s="1010"/>
      <c r="Y46" s="1010"/>
      <c r="Z46" s="1010"/>
      <c r="AA46" s="1010"/>
      <c r="AB46" s="1010"/>
      <c r="AC46" s="1010"/>
      <c r="AD46" s="1010"/>
      <c r="AE46" s="1010"/>
      <c r="AF46" s="1010"/>
      <c r="AG46" s="1010"/>
      <c r="AH46" s="1010"/>
      <c r="AI46" s="1010"/>
      <c r="AJ46" s="1010"/>
      <c r="AK46" s="1010"/>
      <c r="AL46" s="1010"/>
      <c r="AM46" s="1010"/>
      <c r="AN46" s="1010"/>
      <c r="AO46" s="1010"/>
      <c r="AP46" s="1010"/>
      <c r="AQ46" s="1010"/>
      <c r="AR46" s="1010"/>
      <c r="AS46" s="1010"/>
      <c r="AT46" s="1010"/>
      <c r="AU46" s="1010"/>
      <c r="AV46" s="1010"/>
      <c r="AW46" s="1010"/>
      <c r="AX46" s="1010"/>
      <c r="AY46" s="1010"/>
      <c r="AZ46" s="1010"/>
      <c r="BA46" s="1010"/>
      <c r="BB46" s="1010"/>
    </row>
    <row r="47" spans="1:54" s="1090" customFormat="1">
      <c r="A47" s="1610"/>
      <c r="B47" s="1609"/>
      <c r="C47" s="1092" t="s">
        <v>1234</v>
      </c>
      <c r="D47" s="1092"/>
      <c r="E47" s="1093">
        <v>815</v>
      </c>
      <c r="F47" s="1093">
        <v>130</v>
      </c>
      <c r="G47" s="1093">
        <v>274</v>
      </c>
      <c r="H47" s="1097">
        <v>48.034112499999978</v>
      </c>
      <c r="I47" s="1097">
        <v>7.3897725000000012</v>
      </c>
      <c r="J47" s="1097">
        <v>14.536702500000002</v>
      </c>
      <c r="K47" s="1096"/>
      <c r="L47" s="1097"/>
      <c r="M47" s="1097"/>
      <c r="N47" s="1121">
        <v>94.190476190476204</v>
      </c>
      <c r="O47" s="1121">
        <v>4.9363005952380963</v>
      </c>
      <c r="P47" s="1115"/>
      <c r="Q47" s="1010"/>
      <c r="R47" s="1010"/>
      <c r="S47" s="1010"/>
      <c r="T47" s="1010"/>
      <c r="U47" s="1010"/>
      <c r="V47" s="1010"/>
      <c r="W47" s="1010"/>
      <c r="X47" s="1010"/>
      <c r="Y47" s="1010"/>
      <c r="Z47" s="1010"/>
      <c r="AA47" s="1010"/>
      <c r="AB47" s="1010"/>
      <c r="AC47" s="1010"/>
      <c r="AD47" s="1010"/>
      <c r="AE47" s="1010"/>
      <c r="AF47" s="1010"/>
      <c r="AG47" s="1010"/>
      <c r="AH47" s="1010"/>
      <c r="AI47" s="1010"/>
      <c r="AJ47" s="1010"/>
      <c r="AK47" s="1010"/>
      <c r="AL47" s="1010"/>
      <c r="AM47" s="1010"/>
      <c r="AN47" s="1010"/>
      <c r="AO47" s="1010"/>
      <c r="AP47" s="1010"/>
      <c r="AQ47" s="1010"/>
      <c r="AR47" s="1010"/>
      <c r="AS47" s="1010"/>
      <c r="AT47" s="1010"/>
      <c r="AU47" s="1010"/>
      <c r="AV47" s="1010"/>
      <c r="AW47" s="1010"/>
      <c r="AX47" s="1010"/>
      <c r="AY47" s="1010"/>
      <c r="AZ47" s="1010"/>
      <c r="BA47" s="1010"/>
      <c r="BB47" s="1010"/>
    </row>
    <row r="48" spans="1:54" s="1090" customFormat="1">
      <c r="A48" s="1610"/>
      <c r="B48" s="1608" t="s">
        <v>1348</v>
      </c>
      <c r="C48" s="1122" t="s">
        <v>1379</v>
      </c>
      <c r="D48" s="1083" t="s">
        <v>1260</v>
      </c>
      <c r="E48" s="1087">
        <v>0</v>
      </c>
      <c r="F48" s="1087">
        <v>0</v>
      </c>
      <c r="G48" s="1087">
        <v>0</v>
      </c>
      <c r="H48" s="1099">
        <v>0</v>
      </c>
      <c r="I48" s="1099">
        <v>0</v>
      </c>
      <c r="J48" s="1099">
        <v>0</v>
      </c>
      <c r="K48" s="1114" t="s">
        <v>1380</v>
      </c>
      <c r="L48" s="1087" t="s">
        <v>223</v>
      </c>
      <c r="M48" s="1087" t="s">
        <v>223</v>
      </c>
      <c r="N48" s="1123">
        <v>0</v>
      </c>
      <c r="O48" s="1123">
        <v>0</v>
      </c>
      <c r="P48" s="1115"/>
      <c r="Q48" s="1010"/>
      <c r="R48" s="1010"/>
      <c r="S48" s="1010"/>
      <c r="T48" s="1010"/>
      <c r="U48" s="1010"/>
      <c r="V48" s="1010"/>
      <c r="W48" s="1010"/>
      <c r="X48" s="1010"/>
      <c r="Y48" s="1010"/>
      <c r="Z48" s="1010"/>
      <c r="AA48" s="1010"/>
      <c r="AB48" s="1010"/>
      <c r="AC48" s="1010"/>
      <c r="AD48" s="1010"/>
      <c r="AE48" s="1010"/>
      <c r="AF48" s="1010"/>
      <c r="AG48" s="1010"/>
      <c r="AH48" s="1010"/>
      <c r="AI48" s="1010"/>
      <c r="AJ48" s="1010"/>
      <c r="AK48" s="1010"/>
      <c r="AL48" s="1010"/>
      <c r="AM48" s="1010"/>
      <c r="AN48" s="1010"/>
      <c r="AO48" s="1010"/>
      <c r="AP48" s="1010"/>
      <c r="AQ48" s="1010"/>
      <c r="AR48" s="1010"/>
      <c r="AS48" s="1010"/>
      <c r="AT48" s="1010"/>
      <c r="AU48" s="1010"/>
      <c r="AV48" s="1010"/>
      <c r="AW48" s="1010"/>
      <c r="AX48" s="1010"/>
      <c r="AY48" s="1010"/>
      <c r="AZ48" s="1010"/>
      <c r="BA48" s="1010"/>
      <c r="BB48" s="1010"/>
    </row>
    <row r="49" spans="1:52" s="1090" customFormat="1">
      <c r="A49" s="1610"/>
      <c r="B49" s="1609"/>
      <c r="C49" s="1092" t="s">
        <v>1223</v>
      </c>
      <c r="D49" s="1092"/>
      <c r="E49" s="1109">
        <v>0</v>
      </c>
      <c r="F49" s="1109">
        <v>0</v>
      </c>
      <c r="G49" s="1109">
        <v>0</v>
      </c>
      <c r="H49" s="1113">
        <v>0</v>
      </c>
      <c r="I49" s="1113">
        <v>0</v>
      </c>
      <c r="J49" s="1113">
        <v>0</v>
      </c>
      <c r="K49" s="1112"/>
      <c r="L49" s="1113"/>
      <c r="M49" s="1113"/>
      <c r="N49" s="1113">
        <v>0</v>
      </c>
      <c r="O49" s="1113">
        <v>0</v>
      </c>
      <c r="P49" s="1115"/>
      <c r="Q49" s="1010"/>
      <c r="R49" s="1010"/>
      <c r="S49" s="1010"/>
      <c r="T49" s="1010"/>
      <c r="U49" s="1010"/>
      <c r="V49" s="1010"/>
      <c r="W49" s="1010"/>
      <c r="X49" s="1010"/>
      <c r="Y49" s="1010"/>
      <c r="Z49" s="1010"/>
      <c r="AA49" s="1010"/>
      <c r="AB49" s="1010"/>
      <c r="AC49" s="1010"/>
      <c r="AD49" s="1010"/>
      <c r="AE49" s="1010"/>
      <c r="AF49" s="1010"/>
      <c r="AG49" s="1010"/>
      <c r="AH49" s="1010"/>
      <c r="AI49" s="1010"/>
      <c r="AJ49" s="1010"/>
      <c r="AK49" s="1010"/>
      <c r="AL49" s="1010"/>
      <c r="AM49" s="1010"/>
      <c r="AN49" s="1010"/>
      <c r="AO49" s="1010"/>
      <c r="AP49" s="1010"/>
      <c r="AQ49" s="1010"/>
      <c r="AR49" s="1010"/>
      <c r="AS49" s="1010"/>
      <c r="AT49" s="1010"/>
      <c r="AU49" s="1010"/>
      <c r="AV49" s="1010"/>
      <c r="AW49" s="1010"/>
      <c r="AX49" s="1010"/>
      <c r="AY49" s="1010"/>
      <c r="AZ49" s="1010"/>
    </row>
    <row r="50" spans="1:52" s="1090" customFormat="1">
      <c r="A50" s="1610"/>
      <c r="B50" s="1608" t="s">
        <v>1139</v>
      </c>
      <c r="C50" s="1083" t="s">
        <v>1203</v>
      </c>
      <c r="D50" s="1083" t="s">
        <v>1204</v>
      </c>
      <c r="E50" s="1084">
        <v>0</v>
      </c>
      <c r="F50" s="1084">
        <v>0</v>
      </c>
      <c r="G50" s="1084">
        <v>0</v>
      </c>
      <c r="H50" s="1102">
        <v>0</v>
      </c>
      <c r="I50" s="1102">
        <v>0</v>
      </c>
      <c r="J50" s="1102">
        <v>0</v>
      </c>
      <c r="K50" s="1114" t="s">
        <v>1192</v>
      </c>
      <c r="L50" s="1101" t="s">
        <v>223</v>
      </c>
      <c r="M50" s="1101" t="s">
        <v>223</v>
      </c>
      <c r="N50" s="1119">
        <v>0</v>
      </c>
      <c r="O50" s="1119">
        <v>0</v>
      </c>
      <c r="P50" s="1115"/>
      <c r="Q50" s="1010"/>
      <c r="R50" s="1010"/>
      <c r="S50" s="1010"/>
      <c r="T50" s="1010"/>
      <c r="U50" s="1010"/>
      <c r="V50" s="1010"/>
      <c r="W50" s="1010"/>
      <c r="X50" s="1010"/>
      <c r="Y50" s="1010"/>
      <c r="Z50" s="1010"/>
      <c r="AA50" s="1010"/>
      <c r="AB50" s="1010"/>
      <c r="AC50" s="1010"/>
      <c r="AD50" s="1010"/>
      <c r="AE50" s="1010"/>
      <c r="AF50" s="1010"/>
      <c r="AG50" s="1010"/>
      <c r="AH50" s="1010"/>
      <c r="AI50" s="1010"/>
      <c r="AJ50" s="1010"/>
      <c r="AK50" s="1010"/>
      <c r="AL50" s="1010"/>
      <c r="AM50" s="1010"/>
      <c r="AN50" s="1010"/>
      <c r="AO50" s="1010"/>
      <c r="AP50" s="1010"/>
      <c r="AQ50" s="1010"/>
      <c r="AR50" s="1010"/>
      <c r="AS50" s="1010"/>
      <c r="AT50" s="1010"/>
      <c r="AU50" s="1010"/>
      <c r="AV50" s="1010"/>
      <c r="AW50" s="1010"/>
      <c r="AX50" s="1010"/>
      <c r="AY50" s="1010"/>
      <c r="AZ50" s="1010"/>
    </row>
    <row r="51" spans="1:52" s="1090" customFormat="1">
      <c r="A51" s="1610"/>
      <c r="B51" s="1609"/>
      <c r="C51" s="1092" t="s">
        <v>1381</v>
      </c>
      <c r="D51" s="1092"/>
      <c r="E51" s="1109">
        <v>0</v>
      </c>
      <c r="F51" s="1109">
        <v>0</v>
      </c>
      <c r="G51" s="1109">
        <v>0</v>
      </c>
      <c r="H51" s="1113">
        <v>0</v>
      </c>
      <c r="I51" s="1113">
        <v>0</v>
      </c>
      <c r="J51" s="1113">
        <v>0</v>
      </c>
      <c r="K51" s="1112"/>
      <c r="L51" s="1113"/>
      <c r="M51" s="1113"/>
      <c r="N51" s="1113">
        <v>0</v>
      </c>
      <c r="O51" s="1113">
        <v>0</v>
      </c>
      <c r="P51" s="1115"/>
      <c r="Q51" s="1010"/>
      <c r="R51" s="1010"/>
      <c r="S51" s="1010"/>
      <c r="T51" s="1010"/>
      <c r="U51" s="1010"/>
      <c r="V51" s="1010"/>
      <c r="W51" s="1010"/>
      <c r="X51" s="1010"/>
      <c r="Y51" s="1010"/>
      <c r="Z51" s="1010"/>
      <c r="AA51" s="1010"/>
      <c r="AB51" s="1010"/>
      <c r="AC51" s="1010"/>
      <c r="AD51" s="1010"/>
      <c r="AE51" s="1010"/>
      <c r="AF51" s="1010"/>
      <c r="AG51" s="1010"/>
      <c r="AH51" s="1010"/>
      <c r="AI51" s="1010"/>
      <c r="AJ51" s="1010"/>
      <c r="AK51" s="1010"/>
      <c r="AL51" s="1010"/>
      <c r="AM51" s="1010"/>
      <c r="AN51" s="1010"/>
      <c r="AO51" s="1010"/>
      <c r="AP51" s="1010"/>
      <c r="AQ51" s="1010"/>
      <c r="AR51" s="1010"/>
      <c r="AS51" s="1010"/>
      <c r="AT51" s="1010"/>
      <c r="AU51" s="1010"/>
      <c r="AV51" s="1010"/>
      <c r="AW51" s="1010"/>
      <c r="AX51" s="1010"/>
      <c r="AY51" s="1010"/>
      <c r="AZ51" s="1010"/>
    </row>
    <row r="52" spans="1:52" s="1090" customFormat="1">
      <c r="A52" s="1611"/>
      <c r="B52" s="1124" t="s">
        <v>1382</v>
      </c>
      <c r="C52" s="1125" t="s">
        <v>1382</v>
      </c>
      <c r="D52" s="1126"/>
      <c r="E52" s="1127">
        <v>876</v>
      </c>
      <c r="F52" s="1127">
        <v>144</v>
      </c>
      <c r="G52" s="1127">
        <v>286</v>
      </c>
      <c r="H52" s="1128">
        <v>63.975692499999973</v>
      </c>
      <c r="I52" s="1128">
        <v>11.133580500000001</v>
      </c>
      <c r="J52" s="1128">
        <v>17.537122500000002</v>
      </c>
      <c r="K52" s="1129"/>
      <c r="L52" s="1128"/>
      <c r="M52" s="1128"/>
      <c r="N52" s="1128">
        <v>94.666666666666686</v>
      </c>
      <c r="O52" s="1128">
        <v>5.0544887380952392</v>
      </c>
      <c r="P52" s="1115"/>
      <c r="Q52" s="1010"/>
      <c r="R52" s="1010"/>
      <c r="S52" s="1010"/>
      <c r="T52" s="1010"/>
      <c r="U52" s="1010"/>
      <c r="V52" s="1010"/>
      <c r="W52" s="1010"/>
      <c r="X52" s="1010"/>
      <c r="Y52" s="1010"/>
      <c r="Z52" s="1010"/>
      <c r="AA52" s="1010"/>
      <c r="AB52" s="1010"/>
      <c r="AC52" s="1010"/>
      <c r="AD52" s="1010"/>
      <c r="AE52" s="1010"/>
      <c r="AF52" s="1010"/>
      <c r="AG52" s="1010"/>
      <c r="AH52" s="1010"/>
      <c r="AI52" s="1010"/>
      <c r="AJ52" s="1010"/>
      <c r="AK52" s="1010"/>
      <c r="AL52" s="1010"/>
      <c r="AM52" s="1010"/>
      <c r="AN52" s="1010"/>
      <c r="AO52" s="1010"/>
      <c r="AP52" s="1010"/>
      <c r="AQ52" s="1010"/>
      <c r="AR52" s="1010"/>
      <c r="AS52" s="1010"/>
      <c r="AT52" s="1010"/>
      <c r="AU52" s="1010"/>
      <c r="AV52" s="1010"/>
      <c r="AW52" s="1010"/>
      <c r="AX52" s="1010"/>
      <c r="AY52" s="1010"/>
      <c r="AZ52" s="1010"/>
    </row>
    <row r="53" spans="1:52" s="1090" customFormat="1">
      <c r="A53" s="1608" t="s">
        <v>1383</v>
      </c>
      <c r="B53" s="1612" t="s">
        <v>1129</v>
      </c>
      <c r="C53" s="1083" t="s">
        <v>1182</v>
      </c>
      <c r="D53" s="1083" t="s">
        <v>1343</v>
      </c>
      <c r="E53" s="1084">
        <v>0</v>
      </c>
      <c r="F53" s="1084">
        <v>0</v>
      </c>
      <c r="G53" s="1084">
        <v>0</v>
      </c>
      <c r="H53" s="1102">
        <v>0</v>
      </c>
      <c r="I53" s="1102">
        <v>0</v>
      </c>
      <c r="J53" s="1102">
        <v>0</v>
      </c>
      <c r="K53" s="1114" t="s">
        <v>1181</v>
      </c>
      <c r="L53" s="1084" t="s">
        <v>223</v>
      </c>
      <c r="M53" s="1084" t="s">
        <v>223</v>
      </c>
      <c r="N53" s="1119">
        <v>0</v>
      </c>
      <c r="O53" s="1119">
        <v>0</v>
      </c>
      <c r="P53" s="1115"/>
      <c r="Q53" s="1010"/>
      <c r="R53" s="1010"/>
      <c r="S53" s="1010"/>
      <c r="T53" s="1010"/>
      <c r="U53" s="1010"/>
      <c r="V53" s="1010"/>
      <c r="W53" s="1010"/>
      <c r="X53" s="1010"/>
      <c r="Y53" s="1010"/>
      <c r="Z53" s="1010"/>
      <c r="AA53" s="1010"/>
      <c r="AB53" s="1010"/>
      <c r="AC53" s="1010"/>
      <c r="AD53" s="1010"/>
      <c r="AE53" s="1010"/>
      <c r="AF53" s="1010"/>
      <c r="AG53" s="1010"/>
      <c r="AH53" s="1010"/>
      <c r="AI53" s="1010"/>
      <c r="AJ53" s="1010"/>
      <c r="AK53" s="1010"/>
      <c r="AL53" s="1010"/>
      <c r="AM53" s="1010"/>
      <c r="AN53" s="1010"/>
      <c r="AO53" s="1010"/>
      <c r="AP53" s="1010"/>
      <c r="AQ53" s="1010"/>
      <c r="AR53" s="1010"/>
      <c r="AS53" s="1010"/>
      <c r="AT53" s="1010"/>
      <c r="AU53" s="1010"/>
      <c r="AV53" s="1010"/>
      <c r="AW53" s="1010"/>
      <c r="AX53" s="1010"/>
      <c r="AY53" s="1010"/>
      <c r="AZ53" s="1010"/>
    </row>
    <row r="54" spans="1:52" s="1090" customFormat="1">
      <c r="A54" s="1610"/>
      <c r="B54" s="1609"/>
      <c r="C54" s="1083" t="s">
        <v>1190</v>
      </c>
      <c r="D54" s="1083" t="s">
        <v>1341</v>
      </c>
      <c r="E54" s="1084">
        <v>24339</v>
      </c>
      <c r="F54" s="1084">
        <v>23893</v>
      </c>
      <c r="G54" s="1084">
        <v>10169</v>
      </c>
      <c r="H54" s="1102">
        <v>6355.1504759999998</v>
      </c>
      <c r="I54" s="1102">
        <v>793.03871549999928</v>
      </c>
      <c r="J54" s="1102">
        <v>2603.1088020000002</v>
      </c>
      <c r="K54" s="1114" t="s">
        <v>1192</v>
      </c>
      <c r="L54" s="1084" t="s">
        <v>223</v>
      </c>
      <c r="M54" s="1084" t="s">
        <v>223</v>
      </c>
      <c r="N54" s="1119">
        <v>19.761904761904763</v>
      </c>
      <c r="O54" s="1119">
        <v>5.1300714285714282</v>
      </c>
      <c r="P54" s="1115"/>
      <c r="Q54" s="1010"/>
      <c r="R54" s="1010"/>
      <c r="S54" s="1010"/>
      <c r="T54" s="1010"/>
      <c r="U54" s="1010"/>
      <c r="V54" s="1010"/>
      <c r="W54" s="1010"/>
      <c r="X54" s="1010"/>
      <c r="Y54" s="1010"/>
      <c r="Z54" s="1010"/>
      <c r="AA54" s="1010"/>
      <c r="AB54" s="1010"/>
      <c r="AC54" s="1010"/>
      <c r="AD54" s="1010"/>
      <c r="AE54" s="1010"/>
      <c r="AF54" s="1010"/>
      <c r="AG54" s="1010"/>
      <c r="AH54" s="1010"/>
      <c r="AI54" s="1010"/>
      <c r="AJ54" s="1010"/>
      <c r="AK54" s="1010"/>
      <c r="AL54" s="1010"/>
      <c r="AM54" s="1010"/>
      <c r="AN54" s="1010"/>
      <c r="AO54" s="1010"/>
      <c r="AP54" s="1010"/>
      <c r="AQ54" s="1010"/>
      <c r="AR54" s="1010"/>
      <c r="AS54" s="1010"/>
      <c r="AT54" s="1010"/>
      <c r="AU54" s="1010"/>
      <c r="AV54" s="1010"/>
      <c r="AW54" s="1010"/>
      <c r="AX54" s="1010"/>
      <c r="AY54" s="1010"/>
      <c r="AZ54" s="1010"/>
    </row>
    <row r="55" spans="1:52" s="1090" customFormat="1">
      <c r="A55" s="1610"/>
      <c r="B55" s="1612" t="s">
        <v>650</v>
      </c>
      <c r="C55" s="1083" t="s">
        <v>1377</v>
      </c>
      <c r="D55" s="1083" t="s">
        <v>1384</v>
      </c>
      <c r="E55" s="1084">
        <v>5669</v>
      </c>
      <c r="F55" s="1084">
        <v>4836</v>
      </c>
      <c r="G55" s="1084">
        <v>725</v>
      </c>
      <c r="H55" s="1102">
        <v>131.48924375000001</v>
      </c>
      <c r="I55" s="1102">
        <v>111.82396875000002</v>
      </c>
      <c r="J55" s="1102">
        <v>17.137374999999999</v>
      </c>
      <c r="K55" s="1114" t="s">
        <v>1231</v>
      </c>
      <c r="L55" s="1084" t="s">
        <v>223</v>
      </c>
      <c r="M55" s="1084" t="s">
        <v>223</v>
      </c>
      <c r="N55" s="1119">
        <v>56.38095238095238</v>
      </c>
      <c r="O55" s="1119">
        <v>1.3054761904761907</v>
      </c>
      <c r="P55" s="1115"/>
      <c r="Q55" s="1010"/>
      <c r="R55" s="1010"/>
      <c r="S55" s="1010"/>
      <c r="T55" s="1010"/>
      <c r="U55" s="1010"/>
      <c r="V55" s="1010"/>
      <c r="W55" s="1010"/>
      <c r="X55" s="1010"/>
      <c r="Y55" s="1010"/>
      <c r="Z55" s="1010"/>
      <c r="AA55" s="1010"/>
      <c r="AB55" s="1010"/>
      <c r="AC55" s="1010"/>
      <c r="AD55" s="1010"/>
      <c r="AE55" s="1010"/>
      <c r="AF55" s="1010"/>
      <c r="AG55" s="1010"/>
      <c r="AH55" s="1010"/>
      <c r="AI55" s="1010"/>
      <c r="AJ55" s="1010"/>
      <c r="AK55" s="1010"/>
      <c r="AL55" s="1010"/>
      <c r="AM55" s="1010"/>
      <c r="AN55" s="1010"/>
      <c r="AO55" s="1010"/>
      <c r="AP55" s="1010"/>
      <c r="AQ55" s="1010"/>
      <c r="AR55" s="1010"/>
      <c r="AS55" s="1010"/>
      <c r="AT55" s="1010"/>
      <c r="AU55" s="1010"/>
      <c r="AV55" s="1010"/>
      <c r="AW55" s="1010"/>
      <c r="AX55" s="1010"/>
      <c r="AY55" s="1010"/>
      <c r="AZ55" s="1010"/>
    </row>
    <row r="56" spans="1:52" s="1090" customFormat="1">
      <c r="A56" s="1610"/>
      <c r="B56" s="1609"/>
      <c r="C56" s="1083" t="s">
        <v>1357</v>
      </c>
      <c r="D56" s="1130" t="s">
        <v>1385</v>
      </c>
      <c r="E56" s="1084">
        <v>6302198</v>
      </c>
      <c r="F56" s="1084">
        <v>1149284</v>
      </c>
      <c r="G56" s="1084">
        <v>989944</v>
      </c>
      <c r="H56" s="1102">
        <v>429730.81873700023</v>
      </c>
      <c r="I56" s="1102">
        <v>78866.886131999985</v>
      </c>
      <c r="J56" s="1102">
        <v>67110.789624000012</v>
      </c>
      <c r="K56" s="1131" t="s">
        <v>1226</v>
      </c>
      <c r="L56" s="1084" t="s">
        <v>223</v>
      </c>
      <c r="M56" s="1084" t="s">
        <v>223</v>
      </c>
      <c r="N56" s="1119">
        <v>1179.0952380952381</v>
      </c>
      <c r="O56" s="1119">
        <v>77.813952380952372</v>
      </c>
      <c r="P56" s="1115"/>
      <c r="Q56" s="1010"/>
      <c r="R56" s="1010"/>
      <c r="S56" s="1010"/>
      <c r="T56" s="1010"/>
      <c r="U56" s="1010"/>
      <c r="V56" s="1010"/>
      <c r="W56" s="1010"/>
      <c r="X56" s="1010"/>
      <c r="Y56" s="1010"/>
      <c r="Z56" s="1010"/>
      <c r="AA56" s="1010"/>
      <c r="AB56" s="1010"/>
      <c r="AC56" s="1010"/>
      <c r="AD56" s="1010"/>
      <c r="AE56" s="1010"/>
      <c r="AF56" s="1010"/>
      <c r="AG56" s="1010"/>
      <c r="AH56" s="1010"/>
      <c r="AI56" s="1010"/>
      <c r="AJ56" s="1010"/>
      <c r="AK56" s="1010"/>
      <c r="AL56" s="1010"/>
      <c r="AM56" s="1010"/>
      <c r="AN56" s="1010"/>
      <c r="AO56" s="1010"/>
      <c r="AP56" s="1010"/>
      <c r="AQ56" s="1010"/>
      <c r="AR56" s="1010"/>
      <c r="AS56" s="1010"/>
      <c r="AT56" s="1010"/>
      <c r="AU56" s="1010"/>
      <c r="AV56" s="1010"/>
      <c r="AW56" s="1010"/>
      <c r="AX56" s="1010"/>
      <c r="AY56" s="1010"/>
      <c r="AZ56" s="1010"/>
    </row>
    <row r="57" spans="1:52" s="1090" customFormat="1">
      <c r="A57" s="1611"/>
      <c r="B57" s="1107" t="s">
        <v>1386</v>
      </c>
      <c r="C57" s="1132" t="s">
        <v>1387</v>
      </c>
      <c r="D57" s="1108"/>
      <c r="E57" s="1109">
        <v>6332206</v>
      </c>
      <c r="F57" s="1109">
        <v>1178013</v>
      </c>
      <c r="G57" s="1109">
        <v>1000838</v>
      </c>
      <c r="H57" s="1113">
        <v>436217.4584567502</v>
      </c>
      <c r="I57" s="1113">
        <v>79771.748816249979</v>
      </c>
      <c r="J57" s="1113">
        <v>69731.035801000005</v>
      </c>
      <c r="K57" s="1112"/>
      <c r="L57" s="1113"/>
      <c r="M57" s="1113"/>
      <c r="N57" s="1113">
        <v>1255.2380952380952</v>
      </c>
      <c r="O57" s="1113">
        <v>84.249499999999998</v>
      </c>
      <c r="P57" s="1115"/>
      <c r="Q57" s="1010"/>
      <c r="R57" s="1010"/>
      <c r="S57" s="1010"/>
      <c r="T57" s="1010"/>
      <c r="U57" s="1010"/>
      <c r="V57" s="1010"/>
      <c r="W57" s="1010"/>
      <c r="X57" s="1010"/>
      <c r="Y57" s="1010"/>
      <c r="Z57" s="1010"/>
      <c r="AA57" s="1010"/>
      <c r="AB57" s="1010"/>
      <c r="AC57" s="1010"/>
      <c r="AD57" s="1010"/>
      <c r="AE57" s="1010"/>
      <c r="AF57" s="1010"/>
      <c r="AG57" s="1010"/>
      <c r="AH57" s="1010"/>
      <c r="AI57" s="1010"/>
      <c r="AJ57" s="1010"/>
      <c r="AK57" s="1010"/>
      <c r="AL57" s="1010"/>
      <c r="AM57" s="1010"/>
      <c r="AN57" s="1010"/>
      <c r="AO57" s="1010"/>
      <c r="AP57" s="1010"/>
      <c r="AQ57" s="1010"/>
      <c r="AR57" s="1010"/>
      <c r="AS57" s="1010"/>
      <c r="AT57" s="1010"/>
      <c r="AU57" s="1010"/>
      <c r="AV57" s="1010"/>
      <c r="AW57" s="1010"/>
      <c r="AX57" s="1010"/>
      <c r="AY57" s="1010"/>
      <c r="AZ57" s="1010"/>
    </row>
    <row r="58" spans="1:52" ht="15.75" customHeight="1">
      <c r="A58" s="904" t="str">
        <f>"$ indicates as on "&amp;TEXT([6]Sheet1!$B$2,"MMMMMMMMMM DD, YYYY")</f>
        <v>$ indicates as on August 31, 2024</v>
      </c>
      <c r="C58" s="1134"/>
      <c r="D58" s="1134"/>
      <c r="E58" s="1134"/>
      <c r="F58" s="1134"/>
      <c r="G58" s="1134"/>
      <c r="H58" s="1135"/>
      <c r="I58" s="1135"/>
      <c r="J58" s="1135"/>
      <c r="K58" s="1135"/>
      <c r="L58" s="1135"/>
      <c r="M58" s="1135"/>
      <c r="N58" s="1135">
        <v>0</v>
      </c>
      <c r="O58" s="1135">
        <v>0</v>
      </c>
    </row>
    <row r="59" spans="1:52" ht="14.25" customHeight="1">
      <c r="A59" s="1136" t="s">
        <v>1388</v>
      </c>
      <c r="B59" s="1137"/>
      <c r="C59" s="1137"/>
      <c r="D59" s="1137"/>
      <c r="E59" s="1137"/>
      <c r="F59" s="1137"/>
      <c r="G59" s="1137"/>
      <c r="H59" s="1137"/>
      <c r="I59" s="1137"/>
      <c r="L59" s="1139"/>
      <c r="M59" s="1139"/>
      <c r="N59" s="1139"/>
      <c r="O59" s="1139"/>
    </row>
    <row r="60" spans="1:52">
      <c r="E60" s="1010"/>
      <c r="K60" s="1010"/>
    </row>
    <row r="61" spans="1:52">
      <c r="E61" s="1010"/>
      <c r="K61" s="1010"/>
    </row>
    <row r="62" spans="1:52">
      <c r="E62" s="1010"/>
      <c r="K62" s="1010"/>
    </row>
    <row r="63" spans="1:52">
      <c r="E63" s="1010"/>
      <c r="K63" s="1010"/>
    </row>
    <row r="64" spans="1:52">
      <c r="E64" s="1010"/>
      <c r="K64" s="1010"/>
    </row>
    <row r="65" spans="5:11">
      <c r="E65" s="1010"/>
      <c r="K65" s="1010"/>
    </row>
    <row r="66" spans="5:11">
      <c r="E66" s="1010"/>
      <c r="K66" s="1010"/>
    </row>
    <row r="67" spans="5:11">
      <c r="E67" s="1010"/>
      <c r="K67" s="1010"/>
    </row>
    <row r="68" spans="5:11">
      <c r="E68" s="1010"/>
      <c r="K68" s="1010"/>
    </row>
    <row r="69" spans="5:11">
      <c r="E69" s="1010"/>
      <c r="K69" s="1010"/>
    </row>
    <row r="70" spans="5:11">
      <c r="E70" s="1010"/>
      <c r="K70" s="1010"/>
    </row>
    <row r="71" spans="5:11">
      <c r="E71" s="1010"/>
      <c r="K71" s="1010"/>
    </row>
    <row r="72" spans="5:11">
      <c r="E72" s="1010"/>
      <c r="K72" s="1010"/>
    </row>
    <row r="73" spans="5:11">
      <c r="E73" s="1010"/>
      <c r="K73" s="1010"/>
    </row>
    <row r="74" spans="5:11">
      <c r="E74" s="1010"/>
      <c r="K74" s="1010"/>
    </row>
    <row r="75" spans="5:11">
      <c r="E75" s="1010"/>
      <c r="K75" s="1010"/>
    </row>
    <row r="76" spans="5:11">
      <c r="E76" s="1010"/>
      <c r="K76" s="1010"/>
    </row>
    <row r="77" spans="5:11">
      <c r="E77" s="1010"/>
      <c r="K77" s="1010"/>
    </row>
    <row r="78" spans="5:11">
      <c r="E78" s="1010"/>
      <c r="K78" s="1010"/>
    </row>
    <row r="79" spans="5:11">
      <c r="E79" s="1010"/>
      <c r="K79" s="1010"/>
    </row>
    <row r="80" spans="5:11">
      <c r="E80" s="1010"/>
      <c r="K80" s="1010"/>
    </row>
    <row r="81" spans="5:11">
      <c r="E81" s="1010"/>
      <c r="K81" s="1010"/>
    </row>
    <row r="82" spans="5:11">
      <c r="E82" s="1010"/>
      <c r="K82" s="1010"/>
    </row>
    <row r="83" spans="5:11">
      <c r="E83" s="1010"/>
      <c r="K83" s="1010"/>
    </row>
    <row r="84" spans="5:11">
      <c r="E84" s="1010"/>
      <c r="K84" s="1010"/>
    </row>
    <row r="85" spans="5:11">
      <c r="E85" s="1010"/>
      <c r="K85" s="1010"/>
    </row>
    <row r="86" spans="5:11">
      <c r="E86" s="1010"/>
      <c r="K86" s="1010"/>
    </row>
    <row r="87" spans="5:11">
      <c r="E87" s="1010"/>
      <c r="K87" s="1010"/>
    </row>
    <row r="88" spans="5:11">
      <c r="E88" s="1010"/>
      <c r="K88" s="1010"/>
    </row>
    <row r="89" spans="5:11">
      <c r="E89" s="1010"/>
      <c r="K89" s="1010"/>
    </row>
    <row r="90" spans="5:11">
      <c r="E90" s="1010"/>
      <c r="K90" s="1010"/>
    </row>
    <row r="91" spans="5:11">
      <c r="E91" s="1010"/>
      <c r="K91" s="1010"/>
    </row>
    <row r="92" spans="5:11">
      <c r="E92" s="1010"/>
      <c r="K92" s="1010"/>
    </row>
    <row r="93" spans="5:11">
      <c r="E93" s="1010"/>
      <c r="K93" s="1010"/>
    </row>
    <row r="94" spans="5:11">
      <c r="E94" s="1010"/>
      <c r="K94" s="1010"/>
    </row>
    <row r="95" spans="5:11">
      <c r="E95" s="1010"/>
      <c r="K95" s="1010"/>
    </row>
    <row r="96" spans="5:11">
      <c r="E96" s="1010"/>
      <c r="K96" s="1010"/>
    </row>
    <row r="97" spans="5:11">
      <c r="E97" s="1010"/>
      <c r="K97" s="1010"/>
    </row>
    <row r="98" spans="5:11">
      <c r="E98" s="1010"/>
      <c r="K98" s="1010"/>
    </row>
    <row r="99" spans="5:11">
      <c r="E99" s="1010"/>
      <c r="K99" s="1010"/>
    </row>
    <row r="100" spans="5:11">
      <c r="E100" s="1010"/>
      <c r="K100" s="1010"/>
    </row>
    <row r="101" spans="5:11">
      <c r="E101" s="1010"/>
      <c r="K101" s="1010"/>
    </row>
    <row r="102" spans="5:11">
      <c r="E102" s="1010"/>
      <c r="K102" s="1010"/>
    </row>
    <row r="103" spans="5:11">
      <c r="E103" s="1010"/>
      <c r="K103" s="1010"/>
    </row>
    <row r="104" spans="5:11">
      <c r="E104" s="1010"/>
      <c r="K104" s="1010"/>
    </row>
    <row r="105" spans="5:11">
      <c r="E105" s="1010"/>
      <c r="K105" s="1010"/>
    </row>
    <row r="106" spans="5:11">
      <c r="E106" s="1010"/>
      <c r="K106" s="1010"/>
    </row>
    <row r="107" spans="5:11">
      <c r="E107" s="1010"/>
      <c r="K107" s="1010"/>
    </row>
    <row r="108" spans="5:11">
      <c r="E108" s="1010"/>
      <c r="K108" s="1010"/>
    </row>
    <row r="109" spans="5:11">
      <c r="E109" s="1010"/>
      <c r="K109" s="1010"/>
    </row>
    <row r="110" spans="5:11">
      <c r="E110" s="1010"/>
      <c r="K110" s="1010"/>
    </row>
    <row r="111" spans="5:11">
      <c r="E111" s="1010"/>
      <c r="K111" s="1010"/>
    </row>
    <row r="112" spans="5:11">
      <c r="E112" s="1010"/>
      <c r="K112" s="1010"/>
    </row>
    <row r="113" spans="5:11">
      <c r="E113" s="1010"/>
      <c r="K113" s="1010"/>
    </row>
    <row r="114" spans="5:11">
      <c r="E114" s="1010"/>
      <c r="K114" s="1010"/>
    </row>
    <row r="115" spans="5:11">
      <c r="E115" s="1010"/>
      <c r="K115" s="1010"/>
    </row>
    <row r="116" spans="5:11">
      <c r="E116" s="1010"/>
      <c r="K116" s="1010"/>
    </row>
    <row r="117" spans="5:11">
      <c r="E117" s="1010"/>
      <c r="K117" s="1010"/>
    </row>
    <row r="118" spans="5:11">
      <c r="E118" s="1010"/>
      <c r="K118" s="1010"/>
    </row>
    <row r="119" spans="5:11">
      <c r="E119" s="1010"/>
      <c r="K119" s="1010"/>
    </row>
    <row r="120" spans="5:11">
      <c r="E120" s="1010"/>
      <c r="K120" s="1010"/>
    </row>
    <row r="121" spans="5:11">
      <c r="E121" s="1010"/>
      <c r="K121" s="1010"/>
    </row>
    <row r="122" spans="5:11">
      <c r="E122" s="1010"/>
      <c r="K122" s="1010"/>
    </row>
    <row r="123" spans="5:11">
      <c r="E123" s="1010"/>
      <c r="K123" s="1010"/>
    </row>
    <row r="124" spans="5:11">
      <c r="E124" s="1010"/>
      <c r="K124" s="1010"/>
    </row>
    <row r="125" spans="5:11">
      <c r="E125" s="1010"/>
      <c r="K125" s="1010"/>
    </row>
    <row r="126" spans="5:11">
      <c r="E126" s="1010"/>
      <c r="K126" s="1010"/>
    </row>
    <row r="127" spans="5:11">
      <c r="E127" s="1010"/>
      <c r="K127" s="1010"/>
    </row>
    <row r="128" spans="5:11">
      <c r="E128" s="1010"/>
      <c r="K128" s="1010"/>
    </row>
    <row r="129" spans="5:11">
      <c r="E129" s="1010"/>
      <c r="K129" s="1010"/>
    </row>
    <row r="130" spans="5:11">
      <c r="E130" s="1010"/>
      <c r="K130" s="1010"/>
    </row>
    <row r="131" spans="5:11">
      <c r="E131" s="1010"/>
      <c r="K131" s="1010"/>
    </row>
    <row r="132" spans="5:11">
      <c r="E132" s="1010"/>
      <c r="K132" s="1010"/>
    </row>
    <row r="133" spans="5:11">
      <c r="E133" s="1010"/>
      <c r="K133" s="1010"/>
    </row>
    <row r="134" spans="5:11">
      <c r="E134" s="1010"/>
      <c r="K134" s="1010"/>
    </row>
    <row r="135" spans="5:11">
      <c r="E135" s="1010"/>
      <c r="K135" s="1010"/>
    </row>
    <row r="136" spans="5:11">
      <c r="E136" s="1010"/>
      <c r="K136" s="1010"/>
    </row>
    <row r="137" spans="5:11">
      <c r="E137" s="1010"/>
      <c r="K137" s="1010"/>
    </row>
    <row r="138" spans="5:11">
      <c r="E138" s="1010"/>
      <c r="K138" s="1010"/>
    </row>
    <row r="139" spans="5:11">
      <c r="E139" s="1010"/>
      <c r="K139" s="1010"/>
    </row>
    <row r="140" spans="5:11">
      <c r="E140" s="1010"/>
      <c r="K140" s="1010"/>
    </row>
    <row r="141" spans="5:11">
      <c r="E141" s="1010"/>
      <c r="K141" s="1010"/>
    </row>
    <row r="142" spans="5:11">
      <c r="E142" s="1010"/>
      <c r="K142" s="1010"/>
    </row>
    <row r="143" spans="5:11">
      <c r="E143" s="1010"/>
      <c r="K143" s="1010"/>
    </row>
    <row r="144" spans="5:11">
      <c r="E144" s="1010"/>
      <c r="K144" s="1010"/>
    </row>
    <row r="145" spans="5:11">
      <c r="E145" s="1010"/>
      <c r="K145" s="1010"/>
    </row>
    <row r="146" spans="5:11">
      <c r="E146" s="1010"/>
      <c r="K146" s="1010"/>
    </row>
    <row r="147" spans="5:11">
      <c r="E147" s="1010"/>
      <c r="K147" s="1010"/>
    </row>
    <row r="148" spans="5:11">
      <c r="E148" s="1010"/>
      <c r="K148" s="1010"/>
    </row>
    <row r="149" spans="5:11">
      <c r="E149" s="1010"/>
      <c r="K149" s="1010"/>
    </row>
    <row r="150" spans="5:11">
      <c r="E150" s="1010"/>
      <c r="K150" s="1010"/>
    </row>
    <row r="151" spans="5:11">
      <c r="E151" s="1010"/>
      <c r="K151" s="1010"/>
    </row>
    <row r="152" spans="5:11">
      <c r="E152" s="1010"/>
      <c r="K152" s="1010"/>
    </row>
    <row r="153" spans="5:11">
      <c r="E153" s="1010"/>
      <c r="K153" s="1010"/>
    </row>
    <row r="154" spans="5:11">
      <c r="E154" s="1010"/>
      <c r="K154" s="1010"/>
    </row>
    <row r="155" spans="5:11">
      <c r="E155" s="1010"/>
      <c r="K155" s="1010"/>
    </row>
    <row r="156" spans="5:11">
      <c r="E156" s="1010"/>
      <c r="K156" s="1010"/>
    </row>
    <row r="157" spans="5:11">
      <c r="E157" s="1010"/>
      <c r="K157" s="1010"/>
    </row>
  </sheetData>
  <mergeCells count="27">
    <mergeCell ref="B48:B49"/>
    <mergeCell ref="A1:O1"/>
    <mergeCell ref="A2:A3"/>
    <mergeCell ref="B2:B3"/>
    <mergeCell ref="C2:C3"/>
    <mergeCell ref="D2:D3"/>
    <mergeCell ref="E2:G2"/>
    <mergeCell ref="H2:J2"/>
    <mergeCell ref="K2:K3"/>
    <mergeCell ref="L2:M2"/>
    <mergeCell ref="N2:O2"/>
    <mergeCell ref="B50:B51"/>
    <mergeCell ref="A53:A57"/>
    <mergeCell ref="B53:B54"/>
    <mergeCell ref="B55:B56"/>
    <mergeCell ref="A4:A24"/>
    <mergeCell ref="B4:B9"/>
    <mergeCell ref="B10:B15"/>
    <mergeCell ref="B16:B20"/>
    <mergeCell ref="B21:B23"/>
    <mergeCell ref="A25:A35"/>
    <mergeCell ref="B25:B29"/>
    <mergeCell ref="B30:B32"/>
    <mergeCell ref="B33:B34"/>
    <mergeCell ref="A36:A52"/>
    <mergeCell ref="B36:B42"/>
    <mergeCell ref="B43:B47"/>
  </mergeCells>
  <printOptions horizontalCentered="1"/>
  <pageMargins left="0.7" right="0.7" top="0.75" bottom="0.75" header="0.3" footer="0.3"/>
  <pageSetup paperSize="9" scale="48" fitToHeight="0" orientation="landscape" r:id="rId1"/>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5">
    <pageSetUpPr fitToPage="1"/>
  </sheetPr>
  <dimension ref="A1:F44"/>
  <sheetViews>
    <sheetView workbookViewId="0"/>
  </sheetViews>
  <sheetFormatPr defaultRowHeight="15"/>
  <cols>
    <col min="1" max="1" width="73" bestFit="1" customWidth="1"/>
    <col min="2" max="2" width="16" bestFit="1" customWidth="1"/>
    <col min="3" max="3" width="11.42578125" bestFit="1" customWidth="1"/>
    <col min="4" max="4" width="10.85546875" customWidth="1"/>
    <col min="5" max="6" width="10.7109375" bestFit="1" customWidth="1"/>
  </cols>
  <sheetData>
    <row r="1" spans="1:6">
      <c r="A1" s="425" t="s">
        <v>194</v>
      </c>
      <c r="B1" s="212"/>
      <c r="C1" s="212"/>
    </row>
    <row r="2" spans="1:6">
      <c r="A2" s="425" t="s">
        <v>1390</v>
      </c>
      <c r="B2" s="1180">
        <v>7730979.4400000004</v>
      </c>
      <c r="C2" s="212"/>
    </row>
    <row r="3" spans="1:6" ht="30">
      <c r="A3" s="425" t="s">
        <v>733</v>
      </c>
      <c r="B3" s="426">
        <v>29.7</v>
      </c>
      <c r="C3" s="212"/>
    </row>
    <row r="4" spans="1:6">
      <c r="A4" s="425" t="s">
        <v>834</v>
      </c>
      <c r="B4" s="426">
        <v>30.8</v>
      </c>
      <c r="C4" s="212"/>
    </row>
    <row r="5" spans="1:6">
      <c r="A5" s="425" t="s">
        <v>195</v>
      </c>
      <c r="B5" s="427">
        <v>45383</v>
      </c>
      <c r="C5" s="427">
        <v>45413</v>
      </c>
      <c r="D5" s="427">
        <v>45444</v>
      </c>
      <c r="E5" s="427">
        <v>45474</v>
      </c>
      <c r="F5" s="427">
        <v>45505</v>
      </c>
    </row>
    <row r="6" spans="1:6">
      <c r="A6" s="428" t="s">
        <v>196</v>
      </c>
      <c r="B6" s="428">
        <v>4.5</v>
      </c>
      <c r="C6" s="428">
        <v>4.5</v>
      </c>
      <c r="D6" s="428">
        <v>4.5</v>
      </c>
      <c r="E6" s="428">
        <v>4.5</v>
      </c>
      <c r="F6" s="428">
        <v>4.5</v>
      </c>
    </row>
    <row r="7" spans="1:6">
      <c r="A7" s="428" t="s">
        <v>197</v>
      </c>
      <c r="B7" s="428">
        <v>6.5</v>
      </c>
      <c r="C7" s="428">
        <v>6.5</v>
      </c>
      <c r="D7" s="428">
        <v>6.5</v>
      </c>
      <c r="E7" s="428">
        <v>6.5</v>
      </c>
      <c r="F7" s="428">
        <v>6.5</v>
      </c>
    </row>
    <row r="8" spans="1:6">
      <c r="A8" s="429" t="s">
        <v>198</v>
      </c>
      <c r="B8" s="430">
        <v>253583.37</v>
      </c>
      <c r="C8" s="430">
        <v>248313.84</v>
      </c>
      <c r="D8" s="430">
        <v>253518.89</v>
      </c>
      <c r="E8" s="430">
        <v>255897.78</v>
      </c>
      <c r="F8" s="430">
        <v>257027.47</v>
      </c>
    </row>
    <row r="9" spans="1:6">
      <c r="A9" s="428" t="s">
        <v>199</v>
      </c>
      <c r="B9" s="430">
        <v>209361.42</v>
      </c>
      <c r="C9" s="430">
        <v>210876</v>
      </c>
      <c r="D9" s="430">
        <v>209029.2</v>
      </c>
      <c r="E9" s="430">
        <v>211937.41</v>
      </c>
      <c r="F9" s="430">
        <v>213242.06</v>
      </c>
    </row>
    <row r="10" spans="1:6" ht="15.75" customHeight="1">
      <c r="A10" s="428" t="s">
        <v>200</v>
      </c>
      <c r="B10" s="430">
        <v>166311.9</v>
      </c>
      <c r="C10" s="430">
        <v>167814</v>
      </c>
      <c r="D10" s="430">
        <v>167107.97</v>
      </c>
      <c r="E10" s="430">
        <v>168147.92</v>
      </c>
      <c r="F10" s="430">
        <v>169451.62</v>
      </c>
    </row>
    <row r="11" spans="1:6">
      <c r="A11" s="425" t="s">
        <v>201</v>
      </c>
      <c r="B11" s="431"/>
      <c r="C11" s="212"/>
      <c r="E11" s="428"/>
    </row>
    <row r="12" spans="1:6">
      <c r="A12" s="428" t="s">
        <v>202</v>
      </c>
      <c r="B12" s="432">
        <v>6.65</v>
      </c>
      <c r="C12" s="432">
        <v>6.56</v>
      </c>
      <c r="D12" s="432">
        <v>6.67</v>
      </c>
      <c r="E12" s="428">
        <v>6.5</v>
      </c>
      <c r="F12" s="428">
        <v>6.59</v>
      </c>
    </row>
    <row r="13" spans="1:6">
      <c r="A13" s="428" t="s">
        <v>203</v>
      </c>
      <c r="B13" s="432">
        <v>6.92</v>
      </c>
      <c r="C13" s="432">
        <v>6.85</v>
      </c>
      <c r="D13" s="432">
        <v>6.8</v>
      </c>
      <c r="E13" s="428">
        <v>6.72</v>
      </c>
      <c r="F13" s="428">
        <v>6.63</v>
      </c>
    </row>
    <row r="14" spans="1:6">
      <c r="A14" s="433" t="s">
        <v>204</v>
      </c>
      <c r="B14" s="434" t="s">
        <v>686</v>
      </c>
      <c r="C14" s="434" t="s">
        <v>686</v>
      </c>
      <c r="D14" s="432" t="s">
        <v>840</v>
      </c>
      <c r="E14" s="432" t="s">
        <v>840</v>
      </c>
      <c r="F14" s="428" t="s">
        <v>840</v>
      </c>
    </row>
    <row r="15" spans="1:6">
      <c r="A15" s="428" t="s">
        <v>205</v>
      </c>
      <c r="B15" s="432" t="s">
        <v>206</v>
      </c>
      <c r="C15" s="432" t="s">
        <v>206</v>
      </c>
      <c r="D15" s="432" t="s">
        <v>841</v>
      </c>
      <c r="E15" s="428" t="s">
        <v>206</v>
      </c>
      <c r="F15" s="428" t="s">
        <v>206</v>
      </c>
    </row>
    <row r="16" spans="1:6">
      <c r="A16" s="431" t="s">
        <v>207</v>
      </c>
      <c r="B16" s="431"/>
      <c r="C16" s="212"/>
      <c r="E16" s="428"/>
    </row>
    <row r="17" spans="1:6">
      <c r="A17" s="428" t="s">
        <v>208</v>
      </c>
      <c r="B17" s="435">
        <v>2272962.9500000002</v>
      </c>
      <c r="C17" s="435">
        <v>2637533.6700000004</v>
      </c>
      <c r="D17" s="435">
        <v>3132227.57</v>
      </c>
      <c r="E17" s="435">
        <v>3296724.85</v>
      </c>
      <c r="F17" s="435">
        <v>2847505</v>
      </c>
    </row>
    <row r="18" spans="1:6">
      <c r="A18" s="428" t="s">
        <v>209</v>
      </c>
      <c r="B18" s="386">
        <v>40655851.939999998</v>
      </c>
      <c r="C18" s="316">
        <v>41212881.140000001</v>
      </c>
      <c r="D18" s="386">
        <v>43924743.630000003</v>
      </c>
      <c r="E18" s="435">
        <v>46238008.350000001</v>
      </c>
      <c r="F18" s="435">
        <v>46439993.770000003</v>
      </c>
    </row>
    <row r="19" spans="1:6">
      <c r="A19" s="428" t="s">
        <v>210</v>
      </c>
      <c r="B19" s="386">
        <v>40304405.9649911</v>
      </c>
      <c r="C19" s="386">
        <v>40880529.739361502</v>
      </c>
      <c r="D19" s="386">
        <v>43573919</v>
      </c>
      <c r="E19" s="435">
        <v>45865877.613030799</v>
      </c>
      <c r="F19" s="435">
        <v>46109615.540309303</v>
      </c>
    </row>
    <row r="20" spans="1:6">
      <c r="A20" s="428" t="s">
        <v>211</v>
      </c>
      <c r="B20" s="321">
        <v>-8671</v>
      </c>
      <c r="C20" s="321">
        <v>-25586</v>
      </c>
      <c r="D20" s="321">
        <v>26565</v>
      </c>
      <c r="E20" s="435">
        <v>32365</v>
      </c>
      <c r="F20" s="435">
        <v>7322</v>
      </c>
    </row>
    <row r="21" spans="1:6">
      <c r="A21" s="431" t="s">
        <v>212</v>
      </c>
      <c r="B21" s="431"/>
      <c r="C21" s="212"/>
      <c r="E21" s="428"/>
    </row>
    <row r="22" spans="1:6">
      <c r="A22" s="428" t="s">
        <v>213</v>
      </c>
      <c r="B22" s="436">
        <v>641590</v>
      </c>
      <c r="C22" s="436">
        <v>651510</v>
      </c>
      <c r="D22" s="436">
        <v>651997</v>
      </c>
      <c r="E22" s="436">
        <v>667386</v>
      </c>
      <c r="F22" s="436">
        <v>689235</v>
      </c>
    </row>
    <row r="23" spans="1:6">
      <c r="A23" s="428" t="s">
        <v>214</v>
      </c>
      <c r="B23" s="432">
        <v>83.34</v>
      </c>
      <c r="C23" s="432">
        <v>83.3</v>
      </c>
      <c r="D23" s="436">
        <v>83.45</v>
      </c>
      <c r="E23" s="428">
        <v>83.73</v>
      </c>
      <c r="F23" s="428">
        <v>83.87</v>
      </c>
    </row>
    <row r="24" spans="1:6">
      <c r="A24" s="428" t="s">
        <v>215</v>
      </c>
      <c r="B24" s="432">
        <v>89.43</v>
      </c>
      <c r="C24" s="432">
        <v>90.12</v>
      </c>
      <c r="D24" s="436">
        <v>89.25</v>
      </c>
      <c r="E24" s="428">
        <v>90.32</v>
      </c>
      <c r="F24" s="428">
        <v>92.91</v>
      </c>
    </row>
    <row r="25" spans="1:6">
      <c r="A25" s="428" t="s">
        <v>216</v>
      </c>
      <c r="B25" s="437">
        <v>1.37</v>
      </c>
      <c r="C25" s="437">
        <v>1.34</v>
      </c>
      <c r="D25" s="481">
        <v>1.26</v>
      </c>
      <c r="E25" s="428">
        <v>1.33</v>
      </c>
      <c r="F25" s="428">
        <v>1.64</v>
      </c>
    </row>
    <row r="26" spans="1:6">
      <c r="A26" s="431" t="s">
        <v>217</v>
      </c>
      <c r="B26" s="431"/>
      <c r="C26" s="212"/>
      <c r="E26" s="428"/>
    </row>
    <row r="27" spans="1:6">
      <c r="A27" s="428" t="s">
        <v>218</v>
      </c>
      <c r="B27" s="436">
        <v>1240</v>
      </c>
      <c r="C27" s="436">
        <f>232000/100</f>
        <v>2320</v>
      </c>
      <c r="D27" s="436">
        <v>3410</v>
      </c>
      <c r="E27" s="436">
        <v>4530</v>
      </c>
      <c r="F27" s="436">
        <v>6236.97</v>
      </c>
    </row>
    <row r="28" spans="1:6">
      <c r="A28" s="428" t="s">
        <v>219</v>
      </c>
      <c r="B28" s="432">
        <v>1.26</v>
      </c>
      <c r="C28" s="432">
        <v>2.6104417670682833</v>
      </c>
      <c r="D28" s="432">
        <v>3.36</v>
      </c>
      <c r="E28" s="428">
        <v>2.04</v>
      </c>
      <c r="F28" s="428">
        <v>1.31</v>
      </c>
    </row>
    <row r="29" spans="1:6">
      <c r="A29" s="428" t="s">
        <v>220</v>
      </c>
      <c r="B29" s="432">
        <v>4.83</v>
      </c>
      <c r="C29" s="432">
        <v>4.8</v>
      </c>
      <c r="D29" s="432">
        <v>5.08</v>
      </c>
      <c r="E29" s="428">
        <v>3.54</v>
      </c>
      <c r="F29" s="428">
        <v>3.65</v>
      </c>
    </row>
    <row r="30" spans="1:6">
      <c r="A30" s="431" t="s">
        <v>221</v>
      </c>
      <c r="B30" s="212"/>
      <c r="C30" s="212"/>
      <c r="E30" s="428"/>
    </row>
    <row r="31" spans="1:6">
      <c r="A31" s="428" t="s">
        <v>222</v>
      </c>
      <c r="B31" s="437">
        <v>148</v>
      </c>
      <c r="C31" s="437">
        <v>154.6</v>
      </c>
      <c r="D31" s="437">
        <v>150.69999999999999</v>
      </c>
      <c r="E31" s="437">
        <v>149.6</v>
      </c>
      <c r="F31" s="428" t="s">
        <v>223</v>
      </c>
    </row>
    <row r="32" spans="1:6">
      <c r="A32" s="428" t="s">
        <v>224</v>
      </c>
      <c r="B32" s="437">
        <v>130.9</v>
      </c>
      <c r="C32" s="437">
        <v>136.5</v>
      </c>
      <c r="D32" s="437">
        <v>134.9</v>
      </c>
      <c r="E32" s="437">
        <v>116</v>
      </c>
      <c r="F32" s="428" t="s">
        <v>223</v>
      </c>
    </row>
    <row r="33" spans="1:6">
      <c r="A33" s="428" t="s">
        <v>225</v>
      </c>
      <c r="B33" s="437">
        <v>144.6</v>
      </c>
      <c r="C33" s="437">
        <v>150.19999999999999</v>
      </c>
      <c r="D33" s="437">
        <v>146.19999999999999</v>
      </c>
      <c r="E33" s="437">
        <v>148.6</v>
      </c>
      <c r="F33" s="428" t="s">
        <v>223</v>
      </c>
    </row>
    <row r="34" spans="1:6">
      <c r="A34" s="428" t="s">
        <v>226</v>
      </c>
      <c r="B34" s="437">
        <v>212</v>
      </c>
      <c r="C34" s="437">
        <v>229.3</v>
      </c>
      <c r="D34" s="437">
        <v>222.8</v>
      </c>
      <c r="E34" s="437">
        <v>220.2</v>
      </c>
      <c r="F34" s="428" t="s">
        <v>223</v>
      </c>
    </row>
    <row r="35" spans="1:6">
      <c r="A35" s="431" t="s">
        <v>227</v>
      </c>
      <c r="B35" s="212"/>
      <c r="C35" s="212"/>
      <c r="E35" s="428"/>
    </row>
    <row r="36" spans="1:6">
      <c r="A36" s="428" t="s">
        <v>228</v>
      </c>
      <c r="B36" s="438">
        <v>65.638280125999998</v>
      </c>
      <c r="C36" s="438">
        <v>69.365133447000005</v>
      </c>
      <c r="D36" s="544">
        <v>63.984796237000005</v>
      </c>
      <c r="E36" s="1160">
        <v>64.473539361000007</v>
      </c>
      <c r="F36" s="1160">
        <v>65.400000000000006</v>
      </c>
    </row>
    <row r="37" spans="1:6">
      <c r="A37" s="428" t="s">
        <v>229</v>
      </c>
      <c r="B37" s="438">
        <v>71.314999999999998</v>
      </c>
      <c r="C37" s="438">
        <v>78.863</v>
      </c>
      <c r="D37" s="544">
        <v>71.707999999999998</v>
      </c>
      <c r="E37" s="1160">
        <v>73.379000000000005</v>
      </c>
      <c r="F37" s="1160">
        <v>80.06</v>
      </c>
    </row>
    <row r="38" spans="1:6">
      <c r="A38" s="428" t="s">
        <v>230</v>
      </c>
      <c r="B38" s="437">
        <f>-B37+B36</f>
        <v>-5.6767198739999998</v>
      </c>
      <c r="C38" s="437">
        <f>-C37+C36</f>
        <v>-9.4978665529999944</v>
      </c>
      <c r="D38" s="437">
        <f>-D37+D36</f>
        <v>-7.7232037629999937</v>
      </c>
      <c r="E38" s="437">
        <f>-E37+E36</f>
        <v>-8.9054606389999975</v>
      </c>
      <c r="F38" s="1160">
        <f>-F37+F36</f>
        <v>-14.659999999999997</v>
      </c>
    </row>
    <row r="39" spans="1:6">
      <c r="A39" s="125" t="s">
        <v>231</v>
      </c>
    </row>
    <row r="40" spans="1:6">
      <c r="A40" s="126" t="s">
        <v>835</v>
      </c>
    </row>
    <row r="41" spans="1:6">
      <c r="A41" s="126" t="s">
        <v>734</v>
      </c>
    </row>
    <row r="42" spans="1:6">
      <c r="A42" s="126" t="s">
        <v>836</v>
      </c>
    </row>
    <row r="43" spans="1:6">
      <c r="A43" s="126" t="s">
        <v>232</v>
      </c>
    </row>
    <row r="44" spans="1:6">
      <c r="A44" s="126" t="s">
        <v>233</v>
      </c>
    </row>
  </sheetData>
  <hyperlinks>
    <hyperlink ref="A13" location="_edn3" display="_edn3"/>
  </hyperlinks>
  <printOptions horizontalCentered="1"/>
  <pageMargins left="0.7" right="0.7" top="0.75" bottom="0.75" header="0.3" footer="0.3"/>
  <pageSetup paperSize="9" scale="73" fitToWidth="0" orientation="landscape"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Klassify>
  <SNO>1</SNO>
  <KDate>2023-08-11 16:53:47</KDate>
  <Classification>SEBI-PUBLIC</Classification>
  <Subclassification/>
  <HostName>MUM0128007</HostName>
  <Domain_User>SEBINT/8007</Domain_User>
  <IPAdd>10.88.96.128</IPAdd>
  <FilePath>X:\Bulletin\2023 08 August\SEBI_Bulletin_August_2023.xlsx</FilePath>
  <KID>6C3C8C09061F638273696270073079</KID>
  <UniqueName/>
  <Suggested/>
  <Justification/>
</Klassify>
</file>

<file path=customXml/itemProps1.xml><?xml version="1.0" encoding="utf-8"?>
<ds:datastoreItem xmlns:ds="http://schemas.openxmlformats.org/officeDocument/2006/customXml" ds:itemID="{C763D44E-AA55-4E41-90D6-77D821A0F9D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75</vt:i4>
      </vt:variant>
      <vt:variant>
        <vt:lpstr>Named Ranges</vt:lpstr>
      </vt:variant>
      <vt:variant>
        <vt:i4>35</vt:i4>
      </vt:variant>
    </vt:vector>
  </HeadingPairs>
  <TitlesOfParts>
    <vt:vector size="110" baseType="lpstr">
      <vt:lpstr>Data Summary</vt:lpstr>
      <vt:lpstr>1</vt:lpstr>
      <vt:lpstr>2</vt:lpstr>
      <vt:lpstr>3</vt:lpstr>
      <vt:lpstr>4</vt:lpstr>
      <vt:lpstr>5</vt:lpstr>
      <vt:lpstr>6</vt:lpstr>
      <vt:lpstr>7</vt:lpstr>
      <vt:lpstr>8</vt:lpstr>
      <vt:lpstr>9</vt:lpstr>
      <vt:lpstr>10</vt:lpstr>
      <vt:lpstr>11</vt:lpstr>
      <vt:lpstr>12</vt:lpstr>
      <vt:lpstr>13 </vt:lpstr>
      <vt:lpstr>14</vt:lpstr>
      <vt:lpstr>15</vt:lpstr>
      <vt:lpstr>16</vt:lpstr>
      <vt:lpstr>17</vt:lpstr>
      <vt:lpstr>18</vt:lpstr>
      <vt:lpstr>19</vt:lpstr>
      <vt:lpstr>20</vt:lpstr>
      <vt:lpstr>22</vt:lpstr>
      <vt:lpstr>21</vt:lpstr>
      <vt:lpstr>23</vt:lpstr>
      <vt:lpstr>24</vt:lpstr>
      <vt:lpstr>25</vt:lpstr>
      <vt:lpstr>26</vt:lpstr>
      <vt:lpstr>27</vt:lpstr>
      <vt:lpstr>28</vt:lpstr>
      <vt:lpstr>29</vt:lpstr>
      <vt:lpstr>30</vt:lpstr>
      <vt:lpstr>32</vt:lpstr>
      <vt:lpstr>31</vt:lpstr>
      <vt:lpstr>33</vt:lpstr>
      <vt:lpstr>34</vt:lpstr>
      <vt:lpstr>35</vt:lpstr>
      <vt:lpstr>36</vt:lpstr>
      <vt:lpstr>37</vt:lpstr>
      <vt:lpstr>38</vt:lpstr>
      <vt:lpstr>39</vt:lpstr>
      <vt:lpstr>40</vt:lpstr>
      <vt:lpstr>41</vt:lpstr>
      <vt:lpstr>42</vt:lpstr>
      <vt:lpstr>43</vt:lpstr>
      <vt:lpstr>44</vt:lpstr>
      <vt:lpstr>45</vt:lpstr>
      <vt:lpstr>46</vt:lpstr>
      <vt:lpstr>47</vt:lpstr>
      <vt:lpstr>48</vt:lpstr>
      <vt:lpstr>49</vt:lpstr>
      <vt:lpstr>50</vt:lpstr>
      <vt:lpstr>51</vt:lpstr>
      <vt:lpstr>52</vt:lpstr>
      <vt:lpstr>53</vt:lpstr>
      <vt:lpstr>54</vt:lpstr>
      <vt:lpstr>55</vt:lpstr>
      <vt:lpstr>56</vt:lpstr>
      <vt:lpstr>57</vt:lpstr>
      <vt:lpstr>58</vt:lpstr>
      <vt:lpstr>59</vt:lpstr>
      <vt:lpstr>60</vt:lpstr>
      <vt:lpstr>61 </vt:lpstr>
      <vt:lpstr>62</vt:lpstr>
      <vt:lpstr>63</vt:lpstr>
      <vt:lpstr>64</vt:lpstr>
      <vt:lpstr>65</vt:lpstr>
      <vt:lpstr>66</vt:lpstr>
      <vt:lpstr>67</vt:lpstr>
      <vt:lpstr>68</vt:lpstr>
      <vt:lpstr>69</vt:lpstr>
      <vt:lpstr>70</vt:lpstr>
      <vt:lpstr>71</vt:lpstr>
      <vt:lpstr>72</vt:lpstr>
      <vt:lpstr>73</vt:lpstr>
      <vt:lpstr>74</vt:lpstr>
      <vt:lpstr>'1'!Print_Area</vt:lpstr>
      <vt:lpstr>'10'!Print_Area</vt:lpstr>
      <vt:lpstr>'11'!Print_Area</vt:lpstr>
      <vt:lpstr>'12'!Print_Area</vt:lpstr>
      <vt:lpstr>'14'!Print_Area</vt:lpstr>
      <vt:lpstr>'15'!Print_Area</vt:lpstr>
      <vt:lpstr>'16'!Print_Area</vt:lpstr>
      <vt:lpstr>'17'!Print_Area</vt:lpstr>
      <vt:lpstr>'18'!Print_Area</vt:lpstr>
      <vt:lpstr>'19'!Print_Area</vt:lpstr>
      <vt:lpstr>'2'!Print_Area</vt:lpstr>
      <vt:lpstr>'20'!Print_Area</vt:lpstr>
      <vt:lpstr>'21'!Print_Area</vt:lpstr>
      <vt:lpstr>'24'!Print_Area</vt:lpstr>
      <vt:lpstr>'3'!Print_Area</vt:lpstr>
      <vt:lpstr>'34'!Print_Area</vt:lpstr>
      <vt:lpstr>'35'!Print_Area</vt:lpstr>
      <vt:lpstr>'4'!Print_Area</vt:lpstr>
      <vt:lpstr>'49'!Print_Area</vt:lpstr>
      <vt:lpstr>'5'!Print_Area</vt:lpstr>
      <vt:lpstr>'53'!Print_Area</vt:lpstr>
      <vt:lpstr>'54'!Print_Area</vt:lpstr>
      <vt:lpstr>'55'!Print_Area</vt:lpstr>
      <vt:lpstr>'58'!Print_Area</vt:lpstr>
      <vt:lpstr>'64'!Print_Area</vt:lpstr>
      <vt:lpstr>'65'!Print_Area</vt:lpstr>
      <vt:lpstr>'66'!Print_Area</vt:lpstr>
      <vt:lpstr>'67'!Print_Area</vt:lpstr>
      <vt:lpstr>'68'!Print_Area</vt:lpstr>
      <vt:lpstr>'69'!Print_Area</vt:lpstr>
      <vt:lpstr>'7'!Print_Area</vt:lpstr>
      <vt:lpstr>'70'!Print_Area</vt:lpstr>
      <vt:lpstr>'74'!Print_Area</vt:lpstr>
      <vt:lpstr>'8'!Print_Area</vt:lpstr>
      <vt:lpstr>'9'!Print_Area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2015-06-05T18:17:20Z</dcterms:created>
  <dcterms:modified xsi:type="dcterms:W3CDTF">2024-10-04T11:53:54Z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lassification">
    <vt:lpwstr>SEBI-PUBLIC</vt:lpwstr>
  </property>
  <property fmtid="{D5CDD505-2E9C-101B-9397-08002B2CF9AE}" pid="3" name="Rules">
    <vt:lpwstr/>
  </property>
  <property fmtid="{D5CDD505-2E9C-101B-9397-08002B2CF9AE}" pid="4" name="KID">
    <vt:lpwstr>6C3C8C09061F638273696270073079</vt:lpwstr>
  </property>
</Properties>
</file>